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05" windowWidth="12120" windowHeight="9120" activeTab="1"/>
  </bookViews>
  <sheets>
    <sheet name="CDKT" sheetId="1" r:id="rId1"/>
    <sheet name="KQKD" sheetId="2" r:id="rId2"/>
    <sheet name="CTTC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<sst xmlns="http://schemas.openxmlformats.org/spreadsheetml/2006/main" count="522" uniqueCount="189">
  <si>
    <t xml:space="preserve">  </t>
  </si>
  <si>
    <t>CHÆ TIEÂU</t>
  </si>
  <si>
    <t>Doanh thu baùn haøng vaø cung caáp dòch vuï</t>
  </si>
  <si>
    <t>Caùc khoaûn giaûm tröø doanh thu</t>
  </si>
  <si>
    <t>Doanh thu hoaït ñoäng taøi chính</t>
  </si>
  <si>
    <t>Chi phí taøi chính</t>
  </si>
  <si>
    <t>Chi phí baùn haøng</t>
  </si>
  <si>
    <t>Chi phí quaûn lyù doanh nghieäp</t>
  </si>
  <si>
    <t>Lôïi nhuaän thuaàn töø hoaït ñoäng kinh doanh</t>
  </si>
  <si>
    <t>Thu nhaäp khaùc</t>
  </si>
  <si>
    <t>Laõi cô baûn treân coå phieáu</t>
  </si>
  <si>
    <t>Doanh thu thuaàn veà baùn haøng vaø dòch vuï</t>
  </si>
  <si>
    <t>Lôïi nhuaän goäp veà baùn haøng vaø dòch vuï</t>
  </si>
  <si>
    <t>Naêm 2007</t>
  </si>
  <si>
    <t>TOÅNG COÄNG TAØI SAÛN</t>
  </si>
  <si>
    <t xml:space="preserve">COÂNG TY COÅ PHAÀN  THUYÛ SAÛN 4 </t>
  </si>
  <si>
    <t>COÂNG TY COÅ PHAÀN THUYÛ SAÛN 4 - VAÊN PHOØNG TP. HOÀ CHÍ MINH</t>
  </si>
  <si>
    <t>BAÛNG CAÂN ÑOÁI KEÁ TOAÙN</t>
  </si>
  <si>
    <t>Ngaøy 31 thaùng 12 naêm 2008</t>
  </si>
  <si>
    <t>Ñôn vò tính : Ñoàng Vieät Nam</t>
  </si>
  <si>
    <t>TAØI SAÛN</t>
  </si>
  <si>
    <t>Maõ soá</t>
  </si>
  <si>
    <t>Thuyeát minh</t>
  </si>
  <si>
    <t>31/12/2008</t>
  </si>
  <si>
    <t>01/01/2008</t>
  </si>
  <si>
    <t>A. TAØI SAÛN NGAÉN HAÏN</t>
  </si>
  <si>
    <t>I. Tieàn</t>
  </si>
  <si>
    <t>1. Tieàn</t>
  </si>
  <si>
    <t>V.1</t>
  </si>
  <si>
    <t>2. Caùc khoaûn töông ñöông tieàn</t>
  </si>
  <si>
    <t xml:space="preserve">                         -   </t>
  </si>
  <si>
    <t>II. Caùc khoaûn ñaàu tö taøi chính ngaén haïn</t>
  </si>
  <si>
    <t>1. Ñaàu tö ngaén haïn</t>
  </si>
  <si>
    <t>2. Döï phoøng giaûm giaù ñaàu tö ngaén haïn</t>
  </si>
  <si>
    <t>III. Caùc khoaûn phaûi thu ngaén haïn</t>
  </si>
  <si>
    <t>1. Phaûi thu khaùch haøng</t>
  </si>
  <si>
    <t>V.2</t>
  </si>
  <si>
    <t>CNNB</t>
  </si>
  <si>
    <t>2. Traû tröôùc cho ngöôøi baùn</t>
  </si>
  <si>
    <t>3. Phaûi thu noäi boä ngaén haïn</t>
  </si>
  <si>
    <t>4. Phaûi thu theo tieán ñoä hôïp ñoàng xaây döïng</t>
  </si>
  <si>
    <t>5. Caùc khoaûn phaûi thu khaùc</t>
  </si>
  <si>
    <t>V.3</t>
  </si>
  <si>
    <t>6. Döï phoøng caùc khoaûn phaûi thu khoù ñoøi</t>
  </si>
  <si>
    <t>IV. Haøng toàn kho</t>
  </si>
  <si>
    <t xml:space="preserve">1. Haøng toàn kho </t>
  </si>
  <si>
    <t>V.4</t>
  </si>
  <si>
    <t xml:space="preserve">2. Döï phoøng giaûm giaù haøng toàn kho </t>
  </si>
  <si>
    <t>V. Taøi saûn ngaén haïn khaùc</t>
  </si>
  <si>
    <t xml:space="preserve">1. Chi phí traû tröôùc ngaén haïn </t>
  </si>
  <si>
    <t xml:space="preserve">2. Thueá GTGT ñöôïc khaáu tröø </t>
  </si>
  <si>
    <t xml:space="preserve">3. Thueá vaø caùc khoaûn khaùc phaûi thu Nhaø nöôùc </t>
  </si>
  <si>
    <t>V.5</t>
  </si>
  <si>
    <t xml:space="preserve">4. Taøi saûn ngaén haïn khaùc </t>
  </si>
  <si>
    <t>B. TAØI SAÛN DAØI HAÏN</t>
  </si>
  <si>
    <t xml:space="preserve">I. Caùc khoaûn phaûi thu daøi haïn </t>
  </si>
  <si>
    <t xml:space="preserve">1. Phaûi thu daøi haïn khaùch haøng </t>
  </si>
  <si>
    <t xml:space="preserve">2. Voán kinh doanh ôû ñôn vò tröïc thuoäc </t>
  </si>
  <si>
    <t xml:space="preserve">3. Phaûi thu daøi haïn noäi boä </t>
  </si>
  <si>
    <t xml:space="preserve">4. Phaûi thu daøi haïn khaùc </t>
  </si>
  <si>
    <t xml:space="preserve">5. Döï phoøng phaûi thu daøi haïn khoù ñoøi </t>
  </si>
  <si>
    <t xml:space="preserve">II. Taøi saûn coá ñònh </t>
  </si>
  <si>
    <t xml:space="preserve">1. TSCÑ höõu hình </t>
  </si>
  <si>
    <t>V.6</t>
  </si>
  <si>
    <t>- Nguyeân giaù</t>
  </si>
  <si>
    <t>- Giaù trò hao moøn luõy keá</t>
  </si>
  <si>
    <t xml:space="preserve">2. TSCÑ thueâ taøi chính </t>
  </si>
  <si>
    <t xml:space="preserve">3. TSCÑ voâ hình </t>
  </si>
  <si>
    <t xml:space="preserve">4. Chi phí xaây döïng cô baûn dôû dang </t>
  </si>
  <si>
    <t>V.7</t>
  </si>
  <si>
    <t xml:space="preserve">III. Baát ñoäng saûn ñaàu tö </t>
  </si>
  <si>
    <t>BAÛNG CAÂN ÑOÁI KEÁ TOAÙN (TIEÁP THEO)</t>
  </si>
  <si>
    <t xml:space="preserve">1. Nguyeân giaù </t>
  </si>
  <si>
    <t xml:space="preserve">2. Giaù trò hao moøn luyõ keá </t>
  </si>
  <si>
    <t xml:space="preserve">IV. Caùc khoaûn ñaàu tö taøi chính daøi haïn </t>
  </si>
  <si>
    <t xml:space="preserve">1. Ñaàu tö vaøo coâng ty con </t>
  </si>
  <si>
    <t xml:space="preserve">2. Ñaàu tö vaøo coâng ty lieân keát, lieân doanh </t>
  </si>
  <si>
    <t>3. Ñaàu tö daøi haïn khaùc</t>
  </si>
  <si>
    <t>V.8</t>
  </si>
  <si>
    <t xml:space="preserve">4. Döï phoøng giaûm giaù ñaàu tö taøi chính daøi haïn </t>
  </si>
  <si>
    <t xml:space="preserve">V. Taøi saûn daøi haïn khaùc </t>
  </si>
  <si>
    <t xml:space="preserve">1. Chi phí traû tröôùc daøi haïn </t>
  </si>
  <si>
    <t>V.9</t>
  </si>
  <si>
    <t xml:space="preserve">2. Taøi saûn thueá thu nhaäp hoaõn laïi </t>
  </si>
  <si>
    <t xml:space="preserve">3. Taøi saûn daøi haïn khaùc </t>
  </si>
  <si>
    <t xml:space="preserve">NGUOÀN VOÁN </t>
  </si>
  <si>
    <t xml:space="preserve">A. NÔÏ PHAÛI TRAÛ </t>
  </si>
  <si>
    <t xml:space="preserve">I. Nôï ngaén haïn </t>
  </si>
  <si>
    <t>1. Vay vaø nôï ngaén haïn</t>
  </si>
  <si>
    <t>V.10</t>
  </si>
  <si>
    <t xml:space="preserve">2. Phaûi traû cho ngöôøi baùn </t>
  </si>
  <si>
    <t xml:space="preserve">3. Ngöôøi mua traû tieàn tröôùc </t>
  </si>
  <si>
    <t xml:space="preserve">4. Thueá vaø caùc khoaûn phaûi noäp Nhaø nöôùc </t>
  </si>
  <si>
    <t>V.11</t>
  </si>
  <si>
    <t xml:space="preserve">5. Phaûi traû ngöôøi lao ñoäng </t>
  </si>
  <si>
    <t xml:space="preserve">6. Chi phí phaûi traû </t>
  </si>
  <si>
    <t>7. Phaûi traû noäi boä</t>
  </si>
  <si>
    <t xml:space="preserve">8. Phaûi traû theo tieán ñoä hôïp ñoàng xaây döïng </t>
  </si>
  <si>
    <t xml:space="preserve">9. Caùc khoaûn phaûi traû, phaûi noäp ngaén haïn khaùc </t>
  </si>
  <si>
    <t>V.12</t>
  </si>
  <si>
    <t xml:space="preserve">10. Döï phoøng phaûi traû ngaén haïn  </t>
  </si>
  <si>
    <t xml:space="preserve">II. Nôï daøi haïn </t>
  </si>
  <si>
    <t>1. Phaûi traû daøi haïn ngöôøi baùn</t>
  </si>
  <si>
    <t xml:space="preserve">2. Phaûi traû daøi haïn noäi boä </t>
  </si>
  <si>
    <t>3. Phaûi traû daøi haïn khaùc</t>
  </si>
  <si>
    <t xml:space="preserve">4. Vay vaø nôï daøi haïn </t>
  </si>
  <si>
    <t>V.13</t>
  </si>
  <si>
    <t xml:space="preserve">5. Thueá thu nhaäp hoaõn laïi phaûi traû </t>
  </si>
  <si>
    <t xml:space="preserve">6. Döï phoøng trôï caáp maát vieäc laøm </t>
  </si>
  <si>
    <t>7. Döï phoøng phaûi traû daøi haïn</t>
  </si>
  <si>
    <t xml:space="preserve">B. VOÁN CHUÛ SÔÛ HÖÕU </t>
  </si>
  <si>
    <t xml:space="preserve">I. Voán Chuû Sôû Höõu </t>
  </si>
  <si>
    <t>V.14</t>
  </si>
  <si>
    <t xml:space="preserve">1. Voán ñaàu tö cuûa chuû sôû höõu </t>
  </si>
  <si>
    <t xml:space="preserve">2. Thaëng dö voán coå phaàn </t>
  </si>
  <si>
    <t>3. Voán khaùc cuûa chuû sôû höõu</t>
  </si>
  <si>
    <t>4. Coå phieáu ngaân quyõ</t>
  </si>
  <si>
    <t>5. Cheânh leäch ñaùnh giaù laïi taøi saûn</t>
  </si>
  <si>
    <t xml:space="preserve">6. Cheânh leäch tyû giaù hoái ñoaùi </t>
  </si>
  <si>
    <t xml:space="preserve">7. Quyõ ñaàu tö phaùt trieån </t>
  </si>
  <si>
    <t xml:space="preserve">8. Quyõ döï phoøng taøi chính </t>
  </si>
  <si>
    <t xml:space="preserve">9. Quyõ khaùc thuoäc voán chuû sôû höõu </t>
  </si>
  <si>
    <t xml:space="preserve">10. Lôïi nhuaän chöa phaân phoái </t>
  </si>
  <si>
    <t>11. Nguoàn voán ñaàu tö XDCB</t>
  </si>
  <si>
    <t>II. Nguoàn kinh phí vaø quyõ khaùc</t>
  </si>
  <si>
    <t xml:space="preserve">1. Quyõ khen thöôûng, phuùc lôïi </t>
  </si>
  <si>
    <t xml:space="preserve">2. Nguoàn kinh phí </t>
  </si>
  <si>
    <t>3. Nguoàn kinh phí ñaõ hình thaønh TSCÑ</t>
  </si>
  <si>
    <t xml:space="preserve">TOÅNG COÄNG NGUOÀN VOÁN </t>
  </si>
  <si>
    <t xml:space="preserve">CAÙC CHÆ TIEÂU NGOAØI BAÛNG CAÂN ÑOÁI KEÁ TOAÙN </t>
  </si>
  <si>
    <t xml:space="preserve">5. Ngoaïi teä caùc loaïi </t>
  </si>
  <si>
    <t>Dollar Myõ (USD)</t>
  </si>
  <si>
    <t>Keá toaùn tröôûng</t>
  </si>
  <si>
    <t xml:space="preserve">Giaùm ñoác </t>
  </si>
  <si>
    <t>Ñoã Thanh Nga</t>
  </si>
  <si>
    <t xml:space="preserve"> Nguyeãn Vaên Löïc </t>
  </si>
  <si>
    <t xml:space="preserve">1. Taøi saûn thueâ ngoaøi </t>
  </si>
  <si>
    <t>2. Vaät tö, haøng hoùa nhaän giöõ hoä, nhaän gia coâng</t>
  </si>
  <si>
    <t xml:space="preserve">3. Haøng hoùa nhaän baùn hoä, nhaän kyù göûi, kyù cöôïc </t>
  </si>
  <si>
    <t xml:space="preserve">4. Nôï khoù ñoøi ñaõ xöû lyù </t>
  </si>
  <si>
    <t>Euro (EUR)</t>
  </si>
  <si>
    <t>6. Döï toaùn chi söï nghieäp, döï aùn</t>
  </si>
  <si>
    <t xml:space="preserve"> TP HCM, ngaøy    thaùng    naêm </t>
  </si>
  <si>
    <t xml:space="preserve"> Toång Giaùm ñoác </t>
  </si>
  <si>
    <t>Nguyeãn Vaên Löïc</t>
  </si>
  <si>
    <t>BAÙO CAÙO KEÁT QUAÛ HOAÏT ÑOÄNG KINH DOANH</t>
  </si>
  <si>
    <t>Cho nieân ñoä keá toaùn keát thuùc ngaøy 31 thaùng 12 naêm 2008</t>
  </si>
  <si>
    <t>Naêm 2008</t>
  </si>
  <si>
    <t>VI.1</t>
  </si>
  <si>
    <t>Giaù voán haøng baùn</t>
  </si>
  <si>
    <t>VI.2</t>
  </si>
  <si>
    <t>VI.3</t>
  </si>
  <si>
    <t>VI.4</t>
  </si>
  <si>
    <t xml:space="preserve"> - Trong ñoù: Chi phí laõi vay</t>
  </si>
  <si>
    <t>Chi phí khaùc</t>
  </si>
  <si>
    <t xml:space="preserve">Lôïi nhuaän khaùc </t>
  </si>
  <si>
    <t xml:space="preserve">Toång lôïi nhuaän keá toaùn tröôùc thueá </t>
  </si>
  <si>
    <t>Toång lôïi nhuaän keá toaùn chòu thueá TNDN</t>
  </si>
  <si>
    <t>Chi phí thueá TNDN hieän haønh</t>
  </si>
  <si>
    <t>VI.5</t>
  </si>
  <si>
    <t>Chi phí thueá TNDN mieãn giaõm</t>
  </si>
  <si>
    <t>Chi phí thueá TNDN phaûi noäp</t>
  </si>
  <si>
    <t>Chi phí thueá TNDN hoaõn laïi</t>
  </si>
  <si>
    <t>Lôïi nhuaän sau thueá thu nhaäp doanh nghieäp</t>
  </si>
  <si>
    <t xml:space="preserve">  TP HCM, ngaøy    thaùng    naêm  </t>
  </si>
  <si>
    <t>8.2</t>
  </si>
  <si>
    <t xml:space="preserve">Moät soá chæ tieâu ñaùnh giaù khaùi quaùt tình hình kinh doanh. </t>
  </si>
  <si>
    <t>Chæ tieâu</t>
  </si>
  <si>
    <t>Boá trí cô caáu taøi saûn vaø cô caáu nguoàn voán</t>
  </si>
  <si>
    <t xml:space="preserve">  Boá trí cô caáu taøi saûn</t>
  </si>
  <si>
    <t xml:space="preserve">     Taøi saûn ngaén haïn / Toång soá taøi saûn</t>
  </si>
  <si>
    <t xml:space="preserve">     Taøi saûn daøi haïn / Toång soá taøi saûn</t>
  </si>
  <si>
    <t xml:space="preserve">  Boá trí cô caáu nguoàn voán</t>
  </si>
  <si>
    <t xml:space="preserve">     Nôï phaûi traû / Toång nguoàn voán</t>
  </si>
  <si>
    <t xml:space="preserve">     Nguoàn voán chuû sôû höõu / Toång nguoàn voán</t>
  </si>
  <si>
    <t>Khaû naêng thanh toaùn</t>
  </si>
  <si>
    <t xml:space="preserve">     Khaû naêng thanh toaùn hieän haønh</t>
  </si>
  <si>
    <t xml:space="preserve">     Khaû naêng thanh toaùn nôï ngaén haïn</t>
  </si>
  <si>
    <t xml:space="preserve">     Khaû naêng thanh toaùn nhanh</t>
  </si>
  <si>
    <t>Tyû suaát sinh lôøi</t>
  </si>
  <si>
    <t xml:space="preserve">  Tyû suaát lôïi nhuaän treân Doanh thu</t>
  </si>
  <si>
    <t xml:space="preserve">     Tyû suaát lôïi nhuaän tröôùc thueá treân doanh thu</t>
  </si>
  <si>
    <t xml:space="preserve">     Tyû suaát lôïi nhuaän sau thueá treân doanh thu</t>
  </si>
  <si>
    <t xml:space="preserve">  Tyû suaát lôïi nhuaän treân Toång taøi saûn</t>
  </si>
  <si>
    <t xml:space="preserve">     Tyû suaát lôïi nhuaän tröôùc thueá treân toång taøi saûn</t>
  </si>
  <si>
    <t xml:space="preserve">     Tyû suaát lôïi nhuaän sau thueá treân toång taøi saûn</t>
  </si>
  <si>
    <t xml:space="preserve">  Tyû suaát lôïi nhuaän sau thueá / Nguoàn voán chuû sôû höõu</t>
  </si>
  <si>
    <t xml:space="preserve"> Keá toaùn tröôûng </t>
  </si>
  <si>
    <t>Toång Giaùm ñoác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</si>
</sst>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</numFmts>
  <fonts count="11">
    <font>
      <sz val="10"/>
      <name val="VNI-Times"/>
      <family val="0"/>
    </font>
    <font>
      <sz val="8"/>
      <name val="VNI-Times"/>
      <family val="0"/>
    </font>
    <font>
      <sz val="11"/>
      <name val="VNI-Times"/>
      <family val="0"/>
    </font>
    <font>
      <b/>
      <sz val="11"/>
      <name val="VNI-Times"/>
      <family val="0"/>
    </font>
    <font>
      <sz val="10"/>
      <name val="MS Sans Serif"/>
      <family val="0"/>
    </font>
    <font>
      <i/>
      <sz val="11"/>
      <name val="VNI-Times"/>
      <family val="0"/>
    </font>
    <font>
      <sz val="11"/>
      <color indexed="10"/>
      <name val="VNI-Times"/>
      <family val="0"/>
    </font>
    <font>
      <i/>
      <sz val="11"/>
      <color indexed="10"/>
      <name val="VNI-Times"/>
      <family val="0"/>
    </font>
    <font>
      <b/>
      <sz val="11"/>
      <color indexed="9"/>
      <name val="VNI-Times"/>
      <family val="0"/>
    </font>
    <font>
      <sz val="11"/>
      <color indexed="9"/>
      <name val="VNI-Times"/>
      <family val="0"/>
    </font>
    <font>
      <b/>
      <i/>
      <sz val="11"/>
      <name val="VNI-Time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164" fontId="2" fillId="0" borderId="0" xfId="15" applyNumberFormat="1" applyFont="1" applyFill="1" applyBorder="1" applyAlignment="1">
      <alignment vertical="center"/>
    </xf>
    <xf numFmtId="164" fontId="2" fillId="0" borderId="0" xfId="19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 quotePrefix="1">
      <alignment horizontal="right" vertical="center"/>
    </xf>
    <xf numFmtId="164" fontId="3" fillId="0" borderId="0" xfId="15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right" vertical="center"/>
    </xf>
    <xf numFmtId="164" fontId="2" fillId="0" borderId="0" xfId="15" applyNumberFormat="1" applyFont="1" applyFill="1" applyAlignment="1">
      <alignment/>
    </xf>
    <xf numFmtId="164" fontId="2" fillId="0" borderId="0" xfId="15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64" fontId="2" fillId="0" borderId="0" xfId="15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vertical="center"/>
    </xf>
    <xf numFmtId="164" fontId="3" fillId="0" borderId="0" xfId="15" applyNumberFormat="1" applyFont="1" applyFill="1" applyBorder="1" applyAlignment="1">
      <alignment/>
    </xf>
    <xf numFmtId="164" fontId="3" fillId="0" borderId="1" xfId="15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164" fontId="6" fillId="0" borderId="0" xfId="15" applyNumberFormat="1" applyFont="1" applyFill="1" applyBorder="1" applyAlignment="1">
      <alignment vertical="center"/>
    </xf>
    <xf numFmtId="43" fontId="2" fillId="0" borderId="0" xfId="15" applyNumberFormat="1" applyFont="1" applyFill="1" applyBorder="1" applyAlignment="1">
      <alignment vertical="center"/>
    </xf>
    <xf numFmtId="43" fontId="5" fillId="0" borderId="0" xfId="15" applyNumberFormat="1" applyFont="1" applyFill="1" applyBorder="1" applyAlignment="1">
      <alignment vertical="center"/>
    </xf>
    <xf numFmtId="164" fontId="7" fillId="0" borderId="0" xfId="15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3" fontId="2" fillId="0" borderId="0" xfId="15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19" applyFont="1" applyBorder="1" applyAlignment="1">
      <alignment vertical="center"/>
      <protection/>
    </xf>
    <xf numFmtId="0" fontId="2" fillId="0" borderId="0" xfId="19" applyFont="1" applyBorder="1" applyAlignment="1">
      <alignment vertical="center"/>
      <protection/>
    </xf>
    <xf numFmtId="0" fontId="2" fillId="0" borderId="0" xfId="19" applyFont="1" applyBorder="1" applyAlignment="1">
      <alignment horizontal="center" vertical="center"/>
      <protection/>
    </xf>
    <xf numFmtId="164" fontId="2" fillId="0" borderId="0" xfId="15" applyNumberFormat="1" applyFont="1" applyBorder="1" applyAlignment="1">
      <alignment vertical="center"/>
    </xf>
    <xf numFmtId="164" fontId="2" fillId="0" borderId="0" xfId="19" applyNumberFormat="1" applyFont="1" applyBorder="1" applyAlignment="1">
      <alignment vertical="center"/>
      <protection/>
    </xf>
    <xf numFmtId="0" fontId="0" fillId="0" borderId="0" xfId="19" applyFont="1" applyBorder="1" applyAlignment="1">
      <alignment horizontal="center" vertical="center"/>
      <protection/>
    </xf>
    <xf numFmtId="0" fontId="0" fillId="0" borderId="0" xfId="19" applyFont="1" applyBorder="1" applyAlignment="1">
      <alignment vertical="center"/>
      <protection/>
    </xf>
    <xf numFmtId="164" fontId="0" fillId="0" borderId="0" xfId="15" applyNumberFormat="1" applyFont="1" applyBorder="1" applyAlignment="1">
      <alignment vertical="center"/>
    </xf>
    <xf numFmtId="164" fontId="0" fillId="0" borderId="0" xfId="19" applyNumberFormat="1" applyFont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 quotePrefix="1">
      <alignment horizontal="center" vertical="center"/>
    </xf>
    <xf numFmtId="37" fontId="3" fillId="0" borderId="0" xfId="20" applyNumberFormat="1" applyFont="1" applyBorder="1" applyAlignment="1" quotePrefix="1">
      <alignment horizontal="right" vertical="center"/>
      <protection/>
    </xf>
    <xf numFmtId="164" fontId="8" fillId="0" borderId="0" xfId="15" applyNumberFormat="1" applyFont="1" applyBorder="1" applyAlignment="1">
      <alignment vertical="center"/>
    </xf>
    <xf numFmtId="164" fontId="3" fillId="0" borderId="0" xfId="15" applyNumberFormat="1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0" xfId="0" applyFont="1" applyBorder="1" applyAlignment="1" quotePrefix="1">
      <alignment horizontal="center" vertical="center"/>
    </xf>
    <xf numFmtId="164" fontId="2" fillId="0" borderId="0" xfId="15" applyNumberFormat="1" applyFont="1" applyBorder="1" applyAlignment="1">
      <alignment horizontal="right" vertical="center"/>
    </xf>
    <xf numFmtId="37" fontId="2" fillId="0" borderId="0" xfId="20" applyNumberFormat="1" applyFont="1" applyBorder="1" applyAlignment="1" quotePrefix="1">
      <alignment horizontal="right" vertical="center"/>
      <protection/>
    </xf>
    <xf numFmtId="164" fontId="3" fillId="0" borderId="2" xfId="15" applyNumberFormat="1" applyFont="1" applyBorder="1" applyAlignment="1">
      <alignment vertical="center"/>
    </xf>
    <xf numFmtId="37" fontId="2" fillId="0" borderId="3" xfId="20" applyNumberFormat="1" applyFont="1" applyBorder="1" applyAlignment="1" quotePrefix="1">
      <alignment horizontal="right" vertical="center"/>
      <protection/>
    </xf>
    <xf numFmtId="37" fontId="2" fillId="0" borderId="0" xfId="20" applyNumberFormat="1" applyFont="1" applyBorder="1" applyAlignment="1">
      <alignment horizontal="right" vertical="center"/>
      <protection/>
    </xf>
    <xf numFmtId="37" fontId="2" fillId="0" borderId="0" xfId="20" applyNumberFormat="1" applyFont="1" applyBorder="1" applyAlignment="1">
      <alignment horizontal="right"/>
      <protection/>
    </xf>
    <xf numFmtId="37" fontId="2" fillId="0" borderId="0" xfId="20" applyNumberFormat="1" applyFont="1" applyBorder="1" applyAlignment="1" quotePrefix="1">
      <alignment horizontal="right"/>
      <protection/>
    </xf>
    <xf numFmtId="0" fontId="5" fillId="0" borderId="0" xfId="0" applyFont="1" applyBorder="1" applyAlignment="1" quotePrefix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7" fontId="5" fillId="0" borderId="0" xfId="20" applyNumberFormat="1" applyFont="1" applyBorder="1" applyAlignment="1" quotePrefix="1">
      <alignment horizontal="right"/>
      <protection/>
    </xf>
    <xf numFmtId="164" fontId="5" fillId="0" borderId="0" xfId="15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3" xfId="15" applyNumberFormat="1" applyFont="1" applyBorder="1" applyAlignment="1">
      <alignment horizontal="right"/>
    </xf>
    <xf numFmtId="164" fontId="2" fillId="0" borderId="0" xfId="15" applyNumberFormat="1" applyFont="1" applyBorder="1" applyAlignment="1">
      <alignment horizontal="right"/>
    </xf>
    <xf numFmtId="41" fontId="2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2" fillId="0" borderId="3" xfId="15" applyNumberFormat="1" applyFont="1" applyBorder="1" applyAlignment="1">
      <alignment horizontal="center" vertical="center" wrapText="1"/>
    </xf>
    <xf numFmtId="164" fontId="2" fillId="0" borderId="0" xfId="15" applyNumberFormat="1" applyFont="1" applyBorder="1" applyAlignment="1">
      <alignment horizontal="center" vertical="center" wrapText="1"/>
    </xf>
    <xf numFmtId="164" fontId="0" fillId="0" borderId="0" xfId="15" applyNumberFormat="1" applyFont="1" applyFill="1" applyAlignment="1">
      <alignment horizontal="right" vertical="center"/>
    </xf>
    <xf numFmtId="164" fontId="9" fillId="0" borderId="0" xfId="15" applyNumberFormat="1" applyFont="1" applyBorder="1" applyAlignment="1">
      <alignment vertical="center"/>
    </xf>
    <xf numFmtId="164" fontId="3" fillId="0" borderId="1" xfId="15" applyNumberFormat="1" applyFont="1" applyBorder="1" applyAlignment="1">
      <alignment vertical="center"/>
    </xf>
    <xf numFmtId="43" fontId="3" fillId="0" borderId="1" xfId="15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2" fillId="0" borderId="0" xfId="15" applyNumberFormat="1" applyFont="1" applyAlignment="1">
      <alignment vertical="center"/>
    </xf>
    <xf numFmtId="0" fontId="3" fillId="0" borderId="4" xfId="19" applyFont="1" applyFill="1" applyBorder="1" applyAlignment="1">
      <alignment vertical="center"/>
      <protection/>
    </xf>
    <xf numFmtId="0" fontId="3" fillId="0" borderId="4" xfId="19" applyFont="1" applyBorder="1" applyAlignment="1">
      <alignment horizontal="center" vertical="center"/>
      <protection/>
    </xf>
    <xf numFmtId="164" fontId="3" fillId="0" borderId="4" xfId="15" applyNumberFormat="1" applyFont="1" applyBorder="1" applyAlignment="1">
      <alignment horizontal="center" vertical="center"/>
    </xf>
    <xf numFmtId="164" fontId="3" fillId="0" borderId="4" xfId="15" applyNumberFormat="1" applyFont="1" applyBorder="1" applyAlignment="1">
      <alignment horizontal="center" vertical="center" wrapText="1"/>
    </xf>
    <xf numFmtId="164" fontId="2" fillId="0" borderId="5" xfId="15" applyNumberFormat="1" applyFont="1" applyBorder="1" applyAlignment="1">
      <alignment vertical="center"/>
    </xf>
    <xf numFmtId="0" fontId="3" fillId="0" borderId="6" xfId="19" applyFont="1" applyFill="1" applyBorder="1" applyAlignment="1">
      <alignment vertical="center"/>
      <protection/>
    </xf>
    <xf numFmtId="0" fontId="2" fillId="0" borderId="6" xfId="19" applyFont="1" applyFill="1" applyBorder="1" applyAlignment="1">
      <alignment vertical="center"/>
      <protection/>
    </xf>
    <xf numFmtId="0" fontId="2" fillId="0" borderId="6" xfId="0" applyFont="1" applyBorder="1" applyAlignment="1">
      <alignment vertical="center"/>
    </xf>
    <xf numFmtId="164" fontId="2" fillId="0" borderId="6" xfId="15" applyNumberFormat="1" applyFont="1" applyBorder="1" applyAlignment="1">
      <alignment vertical="center"/>
    </xf>
    <xf numFmtId="0" fontId="2" fillId="0" borderId="3" xfId="19" applyFont="1" applyBorder="1" applyAlignment="1">
      <alignment horizontal="center" vertical="center"/>
      <protection/>
    </xf>
    <xf numFmtId="10" fontId="2" fillId="0" borderId="0" xfId="21" applyNumberFormat="1" applyFont="1" applyAlignment="1">
      <alignment vertical="center"/>
    </xf>
    <xf numFmtId="0" fontId="2" fillId="0" borderId="7" xfId="19" applyFont="1" applyBorder="1" applyAlignment="1">
      <alignment horizontal="center" vertical="center"/>
      <protection/>
    </xf>
    <xf numFmtId="10" fontId="2" fillId="0" borderId="6" xfId="21" applyNumberFormat="1" applyFont="1" applyBorder="1" applyAlignment="1">
      <alignment vertical="center"/>
    </xf>
    <xf numFmtId="10" fontId="2" fillId="0" borderId="6" xfId="21" applyNumberFormat="1" applyFont="1" applyBorder="1" applyAlignment="1">
      <alignment horizontal="center" vertical="center"/>
    </xf>
    <xf numFmtId="43" fontId="2" fillId="0" borderId="0" xfId="15" applyNumberFormat="1" applyFont="1" applyAlignment="1">
      <alignment vertical="center"/>
    </xf>
    <xf numFmtId="43" fontId="2" fillId="0" borderId="3" xfId="15" applyNumberFormat="1" applyFont="1" applyBorder="1" applyAlignment="1">
      <alignment vertical="center"/>
    </xf>
    <xf numFmtId="43" fontId="2" fillId="0" borderId="6" xfId="15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2" xfId="19" applyFont="1" applyFill="1" applyBorder="1" applyAlignment="1">
      <alignment vertical="center"/>
      <protection/>
    </xf>
    <xf numFmtId="0" fontId="2" fillId="0" borderId="2" xfId="0" applyFont="1" applyBorder="1" applyAlignment="1">
      <alignment vertical="center"/>
    </xf>
    <xf numFmtId="0" fontId="2" fillId="0" borderId="2" xfId="19" applyFont="1" applyBorder="1" applyAlignment="1">
      <alignment horizontal="center" vertical="center"/>
      <protection/>
    </xf>
    <xf numFmtId="43" fontId="2" fillId="0" borderId="2" xfId="15" applyNumberFormat="1" applyFont="1" applyBorder="1" applyAlignment="1">
      <alignment vertical="center"/>
    </xf>
    <xf numFmtId="43" fontId="2" fillId="0" borderId="0" xfId="15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3" xfId="19" applyFont="1" applyFill="1" applyBorder="1" applyAlignment="1">
      <alignment vertical="center"/>
      <protection/>
    </xf>
    <xf numFmtId="0" fontId="2" fillId="0" borderId="3" xfId="0" applyFont="1" applyBorder="1" applyAlignment="1">
      <alignment horizontal="center" vertical="center"/>
    </xf>
    <xf numFmtId="0" fontId="3" fillId="0" borderId="8" xfId="19" applyFont="1" applyFill="1" applyBorder="1" applyAlignment="1">
      <alignment vertical="center"/>
      <protection/>
    </xf>
    <xf numFmtId="0" fontId="2" fillId="0" borderId="8" xfId="0" applyFont="1" applyBorder="1" applyAlignment="1">
      <alignment vertical="center"/>
    </xf>
    <xf numFmtId="0" fontId="2" fillId="0" borderId="8" xfId="19" applyFont="1" applyBorder="1" applyAlignment="1">
      <alignment vertical="center"/>
      <protection/>
    </xf>
    <xf numFmtId="43" fontId="2" fillId="0" borderId="8" xfId="15" applyNumberFormat="1" applyFont="1" applyBorder="1" applyAlignment="1">
      <alignment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15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15" applyNumberFormat="1" applyFont="1" applyFill="1" applyBorder="1" applyAlignment="1">
      <alignment horizontal="center" vertical="center"/>
    </xf>
    <xf numFmtId="164" fontId="2" fillId="0" borderId="0" xfId="15" applyNumberFormat="1" applyFont="1" applyFill="1" applyBorder="1" applyAlignment="1">
      <alignment horizontal="center" vertical="center"/>
    </xf>
    <xf numFmtId="164" fontId="2" fillId="0" borderId="0" xfId="15" applyNumberFormat="1" applyFont="1" applyBorder="1" applyAlignment="1">
      <alignment horizontal="center" vertical="center"/>
    </xf>
    <xf numFmtId="164" fontId="3" fillId="0" borderId="0" xfId="15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9" fillId="2" borderId="0" xfId="15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4" fontId="9" fillId="0" borderId="0" xfId="15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Auditor's Report HSC 2005-in" xfId="19"/>
    <cellStyle name="Normal_KQKD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imaron\My%20Documents\BCTC2008HOPNH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TDC"/>
      <sheetName val="BIA"/>
      <sheetName val="MUCLUC"/>
      <sheetName val="BCTGD"/>
      <sheetName val="BCDKT"/>
      <sheetName val="KQKD"/>
      <sheetName val="LCTT-GT"/>
      <sheetName val="TM"/>
      <sheetName val="tscd"/>
      <sheetName val="von"/>
    </sheetNames>
    <sheetDataSet>
      <sheetData sheetId="0">
        <row r="8">
          <cell r="F8">
            <v>3678360</v>
          </cell>
        </row>
        <row r="9">
          <cell r="D9">
            <v>251875927</v>
          </cell>
          <cell r="G9">
            <v>251875927</v>
          </cell>
        </row>
        <row r="11">
          <cell r="F11">
            <v>42901440</v>
          </cell>
        </row>
      </sheetData>
      <sheetData sheetId="3">
        <row r="47">
          <cell r="E47" t="str">
            <v>Ngaøy 12 thaùng 01 naêm 2009</v>
          </cell>
        </row>
      </sheetData>
      <sheetData sheetId="4">
        <row r="116">
          <cell r="E116" t="str">
            <v>Ngaøy 12 thaùng 01 naêm 2009</v>
          </cell>
        </row>
      </sheetData>
      <sheetData sheetId="7">
        <row r="561">
          <cell r="I561">
            <v>1009253935</v>
          </cell>
        </row>
        <row r="562">
          <cell r="I562">
            <v>807403148</v>
          </cell>
        </row>
        <row r="574">
          <cell r="I574">
            <v>1205.1653037110082</v>
          </cell>
        </row>
        <row r="623">
          <cell r="G623" t="str">
            <v>Ngaøy 12 thaùng 01 naêm 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3"/>
  <sheetViews>
    <sheetView workbookViewId="0" topLeftCell="A1">
      <selection activeCell="E15" sqref="E15"/>
    </sheetView>
  </sheetViews>
  <sheetFormatPr defaultColWidth="9.00390625" defaultRowHeight="19.5" customHeight="1"/>
  <cols>
    <col min="1" max="2" width="1.75390625" style="3" customWidth="1"/>
    <col min="3" max="3" width="37.875" style="3" customWidth="1"/>
    <col min="4" max="4" width="5.75390625" style="4" customWidth="1"/>
    <col min="5" max="5" width="7.875" style="4" customWidth="1"/>
    <col min="6" max="6" width="17.75390625" style="3" customWidth="1"/>
    <col min="7" max="7" width="2.75390625" style="3" customWidth="1"/>
    <col min="8" max="8" width="17.75390625" style="3" customWidth="1"/>
    <col min="9" max="9" width="21.75390625" style="3" customWidth="1"/>
    <col min="10" max="10" width="15.125" style="3" customWidth="1"/>
    <col min="11" max="12" width="1.75390625" style="3" hidden="1" customWidth="1"/>
    <col min="13" max="13" width="37.875" style="3" hidden="1" customWidth="1"/>
    <col min="14" max="14" width="5.75390625" style="4" hidden="1" customWidth="1"/>
    <col min="15" max="15" width="7.875" style="4" hidden="1" customWidth="1"/>
    <col min="16" max="16" width="17.75390625" style="3" hidden="1" customWidth="1"/>
    <col min="17" max="17" width="2.75390625" style="3" hidden="1" customWidth="1"/>
    <col min="18" max="18" width="17.75390625" style="3" hidden="1" customWidth="1"/>
    <col min="19" max="16384" width="9.125" style="3" customWidth="1"/>
  </cols>
  <sheetData>
    <row r="1" spans="1:11" ht="18" customHeight="1">
      <c r="A1" s="2" t="s">
        <v>15</v>
      </c>
      <c r="K1" s="2" t="s">
        <v>16</v>
      </c>
    </row>
    <row r="2" spans="1:11" ht="18" customHeight="1">
      <c r="A2" s="2"/>
      <c r="K2" s="2"/>
    </row>
    <row r="3" spans="1:18" s="6" customFormat="1" ht="18" customHeight="1">
      <c r="A3" s="5" t="s">
        <v>17</v>
      </c>
      <c r="D3" s="7"/>
      <c r="E3" s="7"/>
      <c r="G3" s="8"/>
      <c r="H3" s="9"/>
      <c r="K3" s="5" t="s">
        <v>17</v>
      </c>
      <c r="N3" s="7"/>
      <c r="O3" s="7"/>
      <c r="Q3" s="8"/>
      <c r="R3" s="9"/>
    </row>
    <row r="4" spans="1:18" s="2" customFormat="1" ht="18" customHeight="1">
      <c r="A4" s="2" t="s">
        <v>18</v>
      </c>
      <c r="D4" s="10"/>
      <c r="E4" s="10"/>
      <c r="H4" s="11"/>
      <c r="K4" s="2" t="s">
        <v>18</v>
      </c>
      <c r="N4" s="10"/>
      <c r="O4" s="10"/>
      <c r="R4" s="11"/>
    </row>
    <row r="5" spans="4:18" s="2" customFormat="1" ht="18" customHeight="1">
      <c r="D5" s="10"/>
      <c r="E5" s="10"/>
      <c r="H5" s="11"/>
      <c r="N5" s="10"/>
      <c r="O5" s="10"/>
      <c r="R5" s="11"/>
    </row>
    <row r="6" spans="8:18" ht="18" customHeight="1">
      <c r="H6" s="12" t="s">
        <v>19</v>
      </c>
      <c r="R6" s="12" t="s">
        <v>19</v>
      </c>
    </row>
    <row r="7" spans="1:18" ht="33" customHeight="1">
      <c r="A7" s="2" t="s">
        <v>20</v>
      </c>
      <c r="D7" s="13" t="s">
        <v>21</v>
      </c>
      <c r="E7" s="13" t="s">
        <v>22</v>
      </c>
      <c r="F7" s="14" t="s">
        <v>23</v>
      </c>
      <c r="G7" s="11"/>
      <c r="H7" s="14" t="s">
        <v>24</v>
      </c>
      <c r="K7" s="2" t="s">
        <v>20</v>
      </c>
      <c r="N7" s="13" t="s">
        <v>21</v>
      </c>
      <c r="O7" s="13" t="s">
        <v>22</v>
      </c>
      <c r="P7" s="14" t="s">
        <v>23</v>
      </c>
      <c r="Q7" s="11"/>
      <c r="R7" s="14" t="s">
        <v>24</v>
      </c>
    </row>
    <row r="8" spans="1:18" s="2" customFormat="1" ht="24.75" customHeight="1">
      <c r="A8" s="2" t="s">
        <v>25</v>
      </c>
      <c r="D8" s="10">
        <v>100</v>
      </c>
      <c r="E8" s="10"/>
      <c r="F8" s="15">
        <f>F9+F12+F15+F22+F25</f>
        <v>91624186664.4</v>
      </c>
      <c r="G8" s="15"/>
      <c r="H8" s="15">
        <f>H9+H12+H15+H22+H25</f>
        <v>66354385010</v>
      </c>
      <c r="I8" s="15"/>
      <c r="J8" s="16"/>
      <c r="L8" s="3"/>
      <c r="M8" s="3"/>
      <c r="N8" s="13"/>
      <c r="O8" s="13"/>
      <c r="P8" s="17"/>
      <c r="Q8" s="11"/>
      <c r="R8" s="17"/>
    </row>
    <row r="9" spans="2:18" s="2" customFormat="1" ht="18.75" customHeight="1">
      <c r="B9" s="2" t="s">
        <v>26</v>
      </c>
      <c r="D9" s="10">
        <v>110</v>
      </c>
      <c r="E9" s="10"/>
      <c r="F9" s="15">
        <f>SUM(F10:F11)</f>
        <v>3484754420</v>
      </c>
      <c r="G9" s="15"/>
      <c r="H9" s="15">
        <f>SUM(H10:H11)</f>
        <v>4019235356</v>
      </c>
      <c r="K9" s="2" t="s">
        <v>25</v>
      </c>
      <c r="N9" s="10">
        <v>100</v>
      </c>
      <c r="O9" s="10"/>
      <c r="P9" s="15">
        <f>P11+P15+P19+P27+P31</f>
        <v>67163241989</v>
      </c>
      <c r="Q9" s="15"/>
      <c r="R9" s="15">
        <f>R11+R15+R19+R27+R31</f>
        <v>35547317209</v>
      </c>
    </row>
    <row r="10" spans="2:18" ht="18.75" customHeight="1">
      <c r="B10" s="3" t="s">
        <v>27</v>
      </c>
      <c r="D10" s="4">
        <v>111</v>
      </c>
      <c r="E10" s="4" t="s">
        <v>28</v>
      </c>
      <c r="F10" s="18">
        <f>163733275+P12</f>
        <v>3484754420</v>
      </c>
      <c r="G10" s="8"/>
      <c r="H10" s="19">
        <f>1009715239+R12</f>
        <v>4019235356</v>
      </c>
      <c r="K10" s="2"/>
      <c r="L10" s="2"/>
      <c r="M10" s="2"/>
      <c r="N10" s="10"/>
      <c r="O10" s="10"/>
      <c r="P10" s="15"/>
      <c r="Q10" s="15"/>
      <c r="R10" s="15"/>
    </row>
    <row r="11" spans="2:18" ht="16.5" customHeight="1" hidden="1">
      <c r="B11" s="3" t="s">
        <v>29</v>
      </c>
      <c r="D11" s="4">
        <v>112</v>
      </c>
      <c r="F11" s="8" t="s">
        <v>30</v>
      </c>
      <c r="G11" s="8"/>
      <c r="H11" s="8" t="s">
        <v>30</v>
      </c>
      <c r="K11" s="2"/>
      <c r="L11" s="2" t="s">
        <v>26</v>
      </c>
      <c r="M11" s="2"/>
      <c r="N11" s="10">
        <v>110</v>
      </c>
      <c r="O11" s="10"/>
      <c r="P11" s="15">
        <f>SUM(P12:P13)</f>
        <v>3321021145</v>
      </c>
      <c r="Q11" s="15"/>
      <c r="R11" s="15">
        <f>SUM(R12:R13)</f>
        <v>3009520117</v>
      </c>
    </row>
    <row r="12" spans="2:18" s="2" customFormat="1" ht="18.75" customHeight="1">
      <c r="B12" s="2" t="s">
        <v>31</v>
      </c>
      <c r="D12" s="10">
        <v>120</v>
      </c>
      <c r="F12" s="15">
        <f>SUM(F13:F14)</f>
        <v>0</v>
      </c>
      <c r="G12" s="15"/>
      <c r="H12" s="15">
        <f>SUM(H13:H14)</f>
        <v>0</v>
      </c>
      <c r="K12" s="3"/>
      <c r="L12" s="3" t="s">
        <v>27</v>
      </c>
      <c r="M12" s="3"/>
      <c r="N12" s="4">
        <v>111</v>
      </c>
      <c r="O12" s="4"/>
      <c r="P12" s="8">
        <f>3281315506+39705639</f>
        <v>3321021145</v>
      </c>
      <c r="Q12" s="8"/>
      <c r="R12" s="8">
        <v>3009520117</v>
      </c>
    </row>
    <row r="13" spans="2:18" ht="16.5" customHeight="1" hidden="1">
      <c r="B13" s="3" t="s">
        <v>32</v>
      </c>
      <c r="D13" s="4">
        <v>121</v>
      </c>
      <c r="F13" s="8" t="s">
        <v>30</v>
      </c>
      <c r="G13" s="8"/>
      <c r="H13" s="8" t="s">
        <v>30</v>
      </c>
      <c r="L13" s="3" t="s">
        <v>29</v>
      </c>
      <c r="N13" s="4">
        <v>112</v>
      </c>
      <c r="P13" s="8" t="s">
        <v>30</v>
      </c>
      <c r="Q13" s="8"/>
      <c r="R13" s="8" t="s">
        <v>30</v>
      </c>
    </row>
    <row r="14" spans="2:18" ht="16.5" customHeight="1" hidden="1">
      <c r="B14" s="3" t="s">
        <v>33</v>
      </c>
      <c r="D14" s="4">
        <v>129</v>
      </c>
      <c r="F14" s="8" t="s">
        <v>30</v>
      </c>
      <c r="G14" s="8"/>
      <c r="H14" s="8" t="s">
        <v>30</v>
      </c>
      <c r="P14" s="8"/>
      <c r="Q14" s="8"/>
      <c r="R14" s="8"/>
    </row>
    <row r="15" spans="2:18" s="2" customFormat="1" ht="18.75" customHeight="1">
      <c r="B15" s="2" t="s">
        <v>34</v>
      </c>
      <c r="D15" s="10">
        <v>130</v>
      </c>
      <c r="E15" s="10"/>
      <c r="F15" s="15">
        <f>SUM(F16:F21)</f>
        <v>63811081496</v>
      </c>
      <c r="G15" s="15"/>
      <c r="H15" s="15">
        <f>SUM(H16:H21)</f>
        <v>38857890776</v>
      </c>
      <c r="I15" s="20"/>
      <c r="L15" s="2" t="s">
        <v>31</v>
      </c>
      <c r="N15" s="10">
        <v>120</v>
      </c>
      <c r="P15" s="15">
        <f>SUM(P16:P17)</f>
        <v>0</v>
      </c>
      <c r="Q15" s="15"/>
      <c r="R15" s="15">
        <f>SUM(R16:R17)</f>
        <v>0</v>
      </c>
    </row>
    <row r="16" spans="2:18" ht="18.75" customHeight="1">
      <c r="B16" s="3" t="s">
        <v>35</v>
      </c>
      <c r="D16" s="4">
        <v>131</v>
      </c>
      <c r="E16" s="4" t="s">
        <v>36</v>
      </c>
      <c r="F16" s="18">
        <f>14882178466+'[1]BTDC'!D9+P20-I16</f>
        <v>27872844091</v>
      </c>
      <c r="G16" s="8"/>
      <c r="H16" s="19">
        <v>35188203198</v>
      </c>
      <c r="I16" s="129">
        <f>200762907+1042758227</f>
        <v>1243521134</v>
      </c>
      <c r="J16" s="130" t="s">
        <v>37</v>
      </c>
      <c r="L16" s="3" t="s">
        <v>32</v>
      </c>
      <c r="N16" s="4">
        <v>121</v>
      </c>
      <c r="P16" s="8" t="s">
        <v>30</v>
      </c>
      <c r="Q16" s="8"/>
      <c r="R16" s="8" t="s">
        <v>30</v>
      </c>
    </row>
    <row r="17" spans="2:18" ht="18.75" customHeight="1">
      <c r="B17" s="3" t="s">
        <v>38</v>
      </c>
      <c r="D17" s="4">
        <v>132</v>
      </c>
      <c r="E17" s="4" t="s">
        <v>36</v>
      </c>
      <c r="F17" s="18">
        <f>49000005+P21</f>
        <v>35860346793</v>
      </c>
      <c r="G17" s="8"/>
      <c r="H17" s="19">
        <f>46164039+R21</f>
        <v>4020399389</v>
      </c>
      <c r="L17" s="3" t="s">
        <v>33</v>
      </c>
      <c r="N17" s="4">
        <v>129</v>
      </c>
      <c r="P17" s="8" t="s">
        <v>30</v>
      </c>
      <c r="Q17" s="8"/>
      <c r="R17" s="8" t="s">
        <v>30</v>
      </c>
    </row>
    <row r="18" spans="2:18" ht="18.75" customHeight="1" hidden="1">
      <c r="B18" s="3" t="s">
        <v>39</v>
      </c>
      <c r="D18" s="4">
        <v>133</v>
      </c>
      <c r="F18" s="8" t="s">
        <v>30</v>
      </c>
      <c r="G18" s="8"/>
      <c r="H18" s="8" t="s">
        <v>30</v>
      </c>
      <c r="P18" s="8"/>
      <c r="Q18" s="8"/>
      <c r="R18" s="8"/>
    </row>
    <row r="19" spans="2:18" ht="18.75" customHeight="1" hidden="1">
      <c r="B19" s="3" t="s">
        <v>40</v>
      </c>
      <c r="D19" s="4">
        <v>134</v>
      </c>
      <c r="F19" s="8" t="s">
        <v>30</v>
      </c>
      <c r="G19" s="8"/>
      <c r="H19" s="8" t="s">
        <v>30</v>
      </c>
      <c r="K19" s="2"/>
      <c r="L19" s="2" t="s">
        <v>34</v>
      </c>
      <c r="M19" s="2"/>
      <c r="N19" s="10">
        <v>130</v>
      </c>
      <c r="O19" s="10"/>
      <c r="P19" s="15">
        <f>SUM(P20:P25)</f>
        <v>49655644942</v>
      </c>
      <c r="Q19" s="15"/>
      <c r="R19" s="15">
        <f>SUM(R20:R25)</f>
        <v>24105285334</v>
      </c>
    </row>
    <row r="20" spans="2:18" ht="18.75" customHeight="1">
      <c r="B20" s="3" t="s">
        <v>41</v>
      </c>
      <c r="D20" s="4">
        <v>135</v>
      </c>
      <c r="E20" s="4" t="s">
        <v>42</v>
      </c>
      <c r="F20" s="19">
        <f>215903290+P24</f>
        <v>1577890612</v>
      </c>
      <c r="G20" s="8"/>
      <c r="H20" s="8">
        <f>R24</f>
        <v>649288189</v>
      </c>
      <c r="L20" s="3" t="s">
        <v>35</v>
      </c>
      <c r="N20" s="4">
        <v>131</v>
      </c>
      <c r="P20" s="8">
        <v>13982310832</v>
      </c>
      <c r="Q20" s="8"/>
      <c r="R20" s="8">
        <v>20481761795</v>
      </c>
    </row>
    <row r="21" spans="2:18" ht="18.75" customHeight="1">
      <c r="B21" s="3" t="s">
        <v>43</v>
      </c>
      <c r="D21" s="4">
        <v>139</v>
      </c>
      <c r="F21" s="8">
        <f>P25</f>
        <v>-1500000000</v>
      </c>
      <c r="G21" s="8"/>
      <c r="H21" s="8">
        <f>R25</f>
        <v>-1000000000</v>
      </c>
      <c r="L21" s="3" t="s">
        <v>38</v>
      </c>
      <c r="N21" s="4">
        <v>132</v>
      </c>
      <c r="P21" s="8">
        <f>35361063788+450283000</f>
        <v>35811346788</v>
      </c>
      <c r="Q21" s="8"/>
      <c r="R21" s="8">
        <v>3974235350</v>
      </c>
    </row>
    <row r="22" spans="2:18" s="2" customFormat="1" ht="18.75" customHeight="1">
      <c r="B22" s="2" t="s">
        <v>44</v>
      </c>
      <c r="D22" s="10">
        <v>140</v>
      </c>
      <c r="E22" s="10"/>
      <c r="F22" s="15">
        <f>SUM(F23:F24)</f>
        <v>20375498078</v>
      </c>
      <c r="G22" s="15"/>
      <c r="H22" s="15">
        <f>SUM(H23:H24)</f>
        <v>21020119602</v>
      </c>
      <c r="I22" s="16"/>
      <c r="J22" s="16"/>
      <c r="K22" s="3"/>
      <c r="L22" s="3" t="s">
        <v>39</v>
      </c>
      <c r="M22" s="3"/>
      <c r="N22" s="4">
        <v>133</v>
      </c>
      <c r="O22" s="4"/>
      <c r="P22" s="8" t="s">
        <v>30</v>
      </c>
      <c r="Q22" s="8"/>
      <c r="R22" s="8" t="s">
        <v>30</v>
      </c>
    </row>
    <row r="23" spans="2:18" ht="18.75" customHeight="1">
      <c r="B23" s="3" t="s">
        <v>45</v>
      </c>
      <c r="D23" s="4">
        <v>141</v>
      </c>
      <c r="E23" s="4" t="s">
        <v>46</v>
      </c>
      <c r="F23" s="18">
        <f>9986557072+P28</f>
        <v>20375498078</v>
      </c>
      <c r="G23" s="19"/>
      <c r="H23" s="19">
        <f>14890947200+R28</f>
        <v>21020119602</v>
      </c>
      <c r="I23" s="8"/>
      <c r="J23" s="16"/>
      <c r="L23" s="3" t="s">
        <v>40</v>
      </c>
      <c r="N23" s="4">
        <v>134</v>
      </c>
      <c r="P23" s="8" t="s">
        <v>30</v>
      </c>
      <c r="Q23" s="8"/>
      <c r="R23" s="8" t="s">
        <v>30</v>
      </c>
    </row>
    <row r="24" spans="2:18" ht="18.75" customHeight="1" hidden="1">
      <c r="B24" s="3" t="s">
        <v>47</v>
      </c>
      <c r="D24" s="4">
        <v>149</v>
      </c>
      <c r="E24" s="10"/>
      <c r="F24" s="8" t="s">
        <v>30</v>
      </c>
      <c r="G24" s="8"/>
      <c r="H24" s="8" t="s">
        <v>30</v>
      </c>
      <c r="L24" s="3" t="s">
        <v>41</v>
      </c>
      <c r="N24" s="4">
        <v>135</v>
      </c>
      <c r="P24" s="8">
        <v>1361987322</v>
      </c>
      <c r="Q24" s="8"/>
      <c r="R24" s="8">
        <v>649288189</v>
      </c>
    </row>
    <row r="25" spans="2:18" s="2" customFormat="1" ht="18.75" customHeight="1">
      <c r="B25" s="2" t="s">
        <v>48</v>
      </c>
      <c r="D25" s="10">
        <v>150</v>
      </c>
      <c r="E25" s="10"/>
      <c r="F25" s="15">
        <f>SUM(F26:F29)</f>
        <v>3952852670.4</v>
      </c>
      <c r="G25" s="15"/>
      <c r="H25" s="15">
        <f>SUM(H26:H29)</f>
        <v>2457139276</v>
      </c>
      <c r="I25" s="20"/>
      <c r="J25" s="16"/>
      <c r="K25" s="3"/>
      <c r="L25" s="3" t="s">
        <v>43</v>
      </c>
      <c r="M25" s="3"/>
      <c r="N25" s="4">
        <v>139</v>
      </c>
      <c r="O25" s="4"/>
      <c r="P25" s="8">
        <v>-1500000000</v>
      </c>
      <c r="Q25" s="8"/>
      <c r="R25" s="8">
        <v>-1000000000</v>
      </c>
    </row>
    <row r="26" spans="2:18" ht="18.75" customHeight="1">
      <c r="B26" s="3" t="s">
        <v>49</v>
      </c>
      <c r="D26" s="4">
        <v>151</v>
      </c>
      <c r="F26" s="18">
        <f>107573216+P32</f>
        <v>863740086</v>
      </c>
      <c r="G26" s="19"/>
      <c r="H26" s="19">
        <f>174016056+R32</f>
        <v>1016173652</v>
      </c>
      <c r="I26" s="21"/>
      <c r="P26" s="8"/>
      <c r="Q26" s="8"/>
      <c r="R26" s="8"/>
    </row>
    <row r="27" spans="2:18" ht="18.75" customHeight="1">
      <c r="B27" s="3" t="s">
        <v>50</v>
      </c>
      <c r="D27" s="4">
        <v>152</v>
      </c>
      <c r="F27" s="19">
        <f>P33</f>
        <v>1727903878</v>
      </c>
      <c r="G27" s="19"/>
      <c r="H27" s="19">
        <v>1024157892</v>
      </c>
      <c r="I27" s="21"/>
      <c r="K27" s="2"/>
      <c r="L27" s="2" t="s">
        <v>44</v>
      </c>
      <c r="M27" s="2"/>
      <c r="N27" s="10">
        <v>140</v>
      </c>
      <c r="O27" s="10"/>
      <c r="P27" s="15">
        <f>SUM(P28:P29)</f>
        <v>10388941006</v>
      </c>
      <c r="Q27" s="15"/>
      <c r="R27" s="15">
        <f>SUM(R28:R29)</f>
        <v>6129172402</v>
      </c>
    </row>
    <row r="28" spans="2:18" ht="18.75" customHeight="1">
      <c r="B28" s="3" t="s">
        <v>51</v>
      </c>
      <c r="D28" s="4">
        <v>154</v>
      </c>
      <c r="E28" s="4" t="s">
        <v>52</v>
      </c>
      <c r="F28" s="18">
        <f>16924558.4+P34</f>
        <v>371766429.4</v>
      </c>
      <c r="G28" s="19"/>
      <c r="H28" s="19">
        <v>136021716</v>
      </c>
      <c r="I28" s="21"/>
      <c r="L28" s="3" t="s">
        <v>45</v>
      </c>
      <c r="N28" s="4">
        <v>141</v>
      </c>
      <c r="O28" s="10"/>
      <c r="P28" s="8">
        <v>10388941006</v>
      </c>
      <c r="Q28" s="8"/>
      <c r="R28" s="8">
        <v>6129172402</v>
      </c>
    </row>
    <row r="29" spans="2:18" ht="18.75" customHeight="1">
      <c r="B29" s="3" t="s">
        <v>53</v>
      </c>
      <c r="D29" s="4">
        <v>158</v>
      </c>
      <c r="F29" s="18">
        <f>30720000+P35</f>
        <v>989442277</v>
      </c>
      <c r="G29" s="19"/>
      <c r="H29" s="19">
        <f>37348800+R35</f>
        <v>280786016</v>
      </c>
      <c r="I29" s="21"/>
      <c r="J29" s="16"/>
      <c r="L29" s="3" t="s">
        <v>47</v>
      </c>
      <c r="N29" s="4">
        <v>149</v>
      </c>
      <c r="O29" s="10"/>
      <c r="P29" s="8" t="s">
        <v>30</v>
      </c>
      <c r="Q29" s="8"/>
      <c r="R29" s="8" t="s">
        <v>30</v>
      </c>
    </row>
    <row r="30" spans="1:18" ht="18.75" customHeight="1">
      <c r="A30" s="2" t="s">
        <v>54</v>
      </c>
      <c r="B30" s="2"/>
      <c r="C30" s="2"/>
      <c r="D30" s="10">
        <v>200</v>
      </c>
      <c r="F30" s="15">
        <f>F31+F37+F48+F51+F57</f>
        <v>153030735464.4</v>
      </c>
      <c r="G30" s="8"/>
      <c r="H30" s="15">
        <f>H31+H37+H48+H51+H57</f>
        <v>77705126683</v>
      </c>
      <c r="J30" s="21"/>
      <c r="O30" s="10"/>
      <c r="P30" s="8"/>
      <c r="Q30" s="8"/>
      <c r="R30" s="8"/>
    </row>
    <row r="31" spans="2:18" s="2" customFormat="1" ht="18.75" customHeight="1">
      <c r="B31" s="2" t="s">
        <v>55</v>
      </c>
      <c r="D31" s="10">
        <v>210</v>
      </c>
      <c r="E31" s="10"/>
      <c r="F31" s="15">
        <f>SUM(F32:F36)</f>
        <v>0</v>
      </c>
      <c r="G31" s="15"/>
      <c r="H31" s="15">
        <f>SUM(H32:H36)</f>
        <v>0</v>
      </c>
      <c r="L31" s="2" t="s">
        <v>48</v>
      </c>
      <c r="N31" s="10">
        <v>150</v>
      </c>
      <c r="O31" s="10"/>
      <c r="P31" s="15">
        <f>SUM(P32:P35)</f>
        <v>3797634896</v>
      </c>
      <c r="Q31" s="15"/>
      <c r="R31" s="15">
        <f>SUM(R32:R35)</f>
        <v>2303339356</v>
      </c>
    </row>
    <row r="32" spans="2:18" ht="18.75" customHeight="1" hidden="1">
      <c r="B32" s="3" t="s">
        <v>56</v>
      </c>
      <c r="D32" s="4">
        <v>211</v>
      </c>
      <c r="F32" s="8" t="s">
        <v>30</v>
      </c>
      <c r="G32" s="8"/>
      <c r="H32" s="8" t="s">
        <v>30</v>
      </c>
      <c r="L32" s="3" t="s">
        <v>49</v>
      </c>
      <c r="N32" s="4">
        <v>151</v>
      </c>
      <c r="P32" s="8">
        <v>756166870</v>
      </c>
      <c r="Q32" s="8"/>
      <c r="R32" s="8">
        <v>842157596</v>
      </c>
    </row>
    <row r="33" spans="2:18" ht="18.75" customHeight="1" hidden="1">
      <c r="B33" s="3" t="s">
        <v>57</v>
      </c>
      <c r="D33" s="4">
        <v>212</v>
      </c>
      <c r="F33" s="8" t="s">
        <v>30</v>
      </c>
      <c r="G33" s="8"/>
      <c r="H33" s="8" t="s">
        <v>30</v>
      </c>
      <c r="L33" s="3" t="s">
        <v>50</v>
      </c>
      <c r="N33" s="4">
        <v>152</v>
      </c>
      <c r="P33" s="8">
        <v>1727903878</v>
      </c>
      <c r="Q33" s="8"/>
      <c r="R33" s="8">
        <v>1081722828</v>
      </c>
    </row>
    <row r="34" spans="2:18" ht="18.75" customHeight="1" hidden="1">
      <c r="B34" s="3" t="s">
        <v>58</v>
      </c>
      <c r="D34" s="4">
        <v>213</v>
      </c>
      <c r="F34" s="8" t="s">
        <v>30</v>
      </c>
      <c r="G34" s="8"/>
      <c r="H34" s="8" t="s">
        <v>30</v>
      </c>
      <c r="L34" s="3" t="s">
        <v>51</v>
      </c>
      <c r="N34" s="4">
        <v>154</v>
      </c>
      <c r="P34" s="8">
        <f>556692658-201850787</f>
        <v>354841871</v>
      </c>
      <c r="Q34" s="8"/>
      <c r="R34" s="8">
        <v>136021716</v>
      </c>
    </row>
    <row r="35" spans="2:18" ht="18.75" customHeight="1" hidden="1">
      <c r="B35" s="3" t="s">
        <v>59</v>
      </c>
      <c r="D35" s="4">
        <v>218</v>
      </c>
      <c r="F35" s="8" t="s">
        <v>30</v>
      </c>
      <c r="G35" s="8"/>
      <c r="H35" s="8" t="s">
        <v>30</v>
      </c>
      <c r="L35" s="3" t="s">
        <v>53</v>
      </c>
      <c r="N35" s="4">
        <v>158</v>
      </c>
      <c r="P35" s="8">
        <v>958722277</v>
      </c>
      <c r="Q35" s="8"/>
      <c r="R35" s="8">
        <v>243437216</v>
      </c>
    </row>
    <row r="36" spans="2:18" ht="18.75" customHeight="1" hidden="1">
      <c r="B36" s="3" t="s">
        <v>60</v>
      </c>
      <c r="D36" s="4">
        <v>219</v>
      </c>
      <c r="F36" s="8" t="s">
        <v>30</v>
      </c>
      <c r="G36" s="8"/>
      <c r="H36" s="8" t="s">
        <v>30</v>
      </c>
      <c r="P36" s="8"/>
      <c r="Q36" s="8"/>
      <c r="R36" s="8"/>
    </row>
    <row r="37" spans="2:18" s="2" customFormat="1" ht="18.75" customHeight="1">
      <c r="B37" s="2" t="s">
        <v>61</v>
      </c>
      <c r="D37" s="10">
        <v>220</v>
      </c>
      <c r="E37" s="10"/>
      <c r="F37" s="15">
        <f>F38+F41+F44+F47</f>
        <v>151484803527</v>
      </c>
      <c r="G37" s="15"/>
      <c r="H37" s="15">
        <f>H38+H41+H44+H47</f>
        <v>75978275024</v>
      </c>
      <c r="I37" s="20"/>
      <c r="J37" s="16"/>
      <c r="N37" s="10"/>
      <c r="O37" s="4"/>
      <c r="P37" s="15"/>
      <c r="Q37" s="8"/>
      <c r="R37" s="15"/>
    </row>
    <row r="38" spans="2:18" ht="18.75" customHeight="1">
      <c r="B38" s="3" t="s">
        <v>62</v>
      </c>
      <c r="D38" s="4">
        <v>221</v>
      </c>
      <c r="E38" s="4" t="s">
        <v>63</v>
      </c>
      <c r="F38" s="22">
        <f>F39+F40</f>
        <v>31760476792</v>
      </c>
      <c r="G38" s="22"/>
      <c r="H38" s="22">
        <f>H39+H40</f>
        <v>32842200973</v>
      </c>
      <c r="I38" s="8"/>
      <c r="J38" s="23"/>
      <c r="K38" s="2"/>
      <c r="L38" s="2" t="s">
        <v>55</v>
      </c>
      <c r="M38" s="2"/>
      <c r="N38" s="10">
        <v>210</v>
      </c>
      <c r="O38" s="10"/>
      <c r="P38" s="15">
        <f>SUM(P39:P43)</f>
        <v>0</v>
      </c>
      <c r="Q38" s="15"/>
      <c r="R38" s="15">
        <f>SUM(R39:R43)</f>
        <v>0</v>
      </c>
    </row>
    <row r="39" spans="3:18" s="24" customFormat="1" ht="18.75" customHeight="1">
      <c r="C39" s="25" t="s">
        <v>64</v>
      </c>
      <c r="D39" s="26">
        <v>222</v>
      </c>
      <c r="E39" s="26"/>
      <c r="F39" s="22">
        <f>29342689392+P55</f>
        <v>43644557246</v>
      </c>
      <c r="G39" s="27"/>
      <c r="H39" s="27">
        <f>28365513078+R55</f>
        <v>42833671585</v>
      </c>
      <c r="K39" s="3"/>
      <c r="L39" s="3" t="s">
        <v>56</v>
      </c>
      <c r="M39" s="3"/>
      <c r="N39" s="4">
        <v>211</v>
      </c>
      <c r="O39" s="4"/>
      <c r="P39" s="8" t="s">
        <v>30</v>
      </c>
      <c r="Q39" s="8"/>
      <c r="R39" s="8" t="s">
        <v>30</v>
      </c>
    </row>
    <row r="40" spans="3:18" s="24" customFormat="1" ht="18.75" customHeight="1">
      <c r="C40" s="25" t="s">
        <v>65</v>
      </c>
      <c r="D40" s="26">
        <v>223</v>
      </c>
      <c r="E40" s="26"/>
      <c r="F40" s="28">
        <f>-2912952255+P56</f>
        <v>-11884080454</v>
      </c>
      <c r="G40" s="27"/>
      <c r="H40" s="27">
        <f>-1377764463+R56</f>
        <v>-9991470612</v>
      </c>
      <c r="K40" s="3"/>
      <c r="L40" s="3" t="s">
        <v>57</v>
      </c>
      <c r="M40" s="3"/>
      <c r="N40" s="4">
        <v>212</v>
      </c>
      <c r="O40" s="4"/>
      <c r="P40" s="8" t="s">
        <v>30</v>
      </c>
      <c r="Q40" s="8"/>
      <c r="R40" s="8" t="s">
        <v>30</v>
      </c>
    </row>
    <row r="41" spans="2:18" ht="18.75" customHeight="1" hidden="1">
      <c r="B41" s="3" t="s">
        <v>66</v>
      </c>
      <c r="D41" s="4">
        <v>224</v>
      </c>
      <c r="F41" s="8">
        <f>SUM(F42:F43)</f>
        <v>0</v>
      </c>
      <c r="G41" s="8"/>
      <c r="H41" s="8">
        <f>SUM(H42:H43)</f>
        <v>0</v>
      </c>
      <c r="L41" s="3" t="s">
        <v>58</v>
      </c>
      <c r="N41" s="4">
        <v>213</v>
      </c>
      <c r="P41" s="8" t="s">
        <v>30</v>
      </c>
      <c r="Q41" s="8"/>
      <c r="R41" s="8" t="s">
        <v>30</v>
      </c>
    </row>
    <row r="42" spans="3:18" s="24" customFormat="1" ht="18.75" customHeight="1" hidden="1">
      <c r="C42" s="25" t="s">
        <v>64</v>
      </c>
      <c r="D42" s="26">
        <v>225</v>
      </c>
      <c r="E42" s="26"/>
      <c r="F42" s="29" t="s">
        <v>30</v>
      </c>
      <c r="G42" s="29"/>
      <c r="H42" s="29" t="s">
        <v>30</v>
      </c>
      <c r="K42" s="3"/>
      <c r="L42" s="3" t="s">
        <v>59</v>
      </c>
      <c r="M42" s="3"/>
      <c r="N42" s="4">
        <v>218</v>
      </c>
      <c r="O42" s="4"/>
      <c r="P42" s="8" t="s">
        <v>30</v>
      </c>
      <c r="Q42" s="8"/>
      <c r="R42" s="8" t="s">
        <v>30</v>
      </c>
    </row>
    <row r="43" spans="3:18" s="24" customFormat="1" ht="18.75" customHeight="1" hidden="1">
      <c r="C43" s="25" t="s">
        <v>65</v>
      </c>
      <c r="D43" s="26">
        <v>226</v>
      </c>
      <c r="E43" s="26"/>
      <c r="F43" s="29" t="s">
        <v>30</v>
      </c>
      <c r="G43" s="29"/>
      <c r="H43" s="29" t="s">
        <v>30</v>
      </c>
      <c r="K43" s="3"/>
      <c r="L43" s="3" t="s">
        <v>60</v>
      </c>
      <c r="M43" s="3"/>
      <c r="N43" s="4">
        <v>219</v>
      </c>
      <c r="O43" s="4"/>
      <c r="P43" s="8" t="s">
        <v>30</v>
      </c>
      <c r="Q43" s="8"/>
      <c r="R43" s="8" t="s">
        <v>30</v>
      </c>
    </row>
    <row r="44" spans="2:18" ht="18.75" customHeight="1" hidden="1">
      <c r="B44" s="3" t="s">
        <v>67</v>
      </c>
      <c r="D44" s="4">
        <v>227</v>
      </c>
      <c r="F44" s="8">
        <f>SUM(F45:F46)</f>
        <v>0</v>
      </c>
      <c r="G44" s="8"/>
      <c r="H44" s="8">
        <f>SUM(H45:H46)</f>
        <v>0</v>
      </c>
      <c r="P44" s="8"/>
      <c r="Q44" s="8"/>
      <c r="R44" s="8"/>
    </row>
    <row r="45" spans="3:18" s="24" customFormat="1" ht="18.75" customHeight="1" hidden="1">
      <c r="C45" s="25" t="s">
        <v>64</v>
      </c>
      <c r="D45" s="26">
        <v>228</v>
      </c>
      <c r="E45" s="26"/>
      <c r="F45" s="8" t="s">
        <v>30</v>
      </c>
      <c r="G45" s="29"/>
      <c r="H45" s="8" t="s">
        <v>30</v>
      </c>
      <c r="K45" s="3"/>
      <c r="L45" s="3"/>
      <c r="M45" s="3"/>
      <c r="N45" s="4"/>
      <c r="O45" s="4"/>
      <c r="P45" s="8"/>
      <c r="Q45" s="8"/>
      <c r="R45" s="8"/>
    </row>
    <row r="46" spans="3:18" s="24" customFormat="1" ht="18.75" customHeight="1" hidden="1">
      <c r="C46" s="25" t="s">
        <v>65</v>
      </c>
      <c r="D46" s="26">
        <v>229</v>
      </c>
      <c r="E46" s="26"/>
      <c r="F46" s="8" t="s">
        <v>30</v>
      </c>
      <c r="G46" s="29"/>
      <c r="H46" s="8" t="s">
        <v>30</v>
      </c>
      <c r="K46" s="3"/>
      <c r="L46" s="3"/>
      <c r="M46" s="3"/>
      <c r="N46" s="4"/>
      <c r="O46" s="4"/>
      <c r="P46" s="8"/>
      <c r="Q46" s="8"/>
      <c r="R46" s="8"/>
    </row>
    <row r="47" spans="2:11" ht="18.75" customHeight="1">
      <c r="B47" s="3" t="s">
        <v>68</v>
      </c>
      <c r="D47" s="4">
        <v>230</v>
      </c>
      <c r="E47" s="4" t="s">
        <v>69</v>
      </c>
      <c r="F47" s="22">
        <f>190074577+P63</f>
        <v>119724326735</v>
      </c>
      <c r="G47" s="19"/>
      <c r="H47" s="19">
        <f>86739533+R63</f>
        <v>43136074051</v>
      </c>
      <c r="K47" s="2" t="s">
        <v>16</v>
      </c>
    </row>
    <row r="48" spans="2:18" s="2" customFormat="1" ht="18.75" customHeight="1">
      <c r="B48" s="2" t="s">
        <v>70</v>
      </c>
      <c r="D48" s="10">
        <v>240</v>
      </c>
      <c r="F48" s="15">
        <f>SUM(F49:F50)</f>
        <v>0</v>
      </c>
      <c r="G48" s="15"/>
      <c r="H48" s="15">
        <f>SUM(H49:H50)</f>
        <v>0</v>
      </c>
      <c r="K48" s="5" t="s">
        <v>71</v>
      </c>
      <c r="L48" s="6"/>
      <c r="M48" s="6"/>
      <c r="N48" s="7"/>
      <c r="O48" s="7"/>
      <c r="P48" s="6"/>
      <c r="Q48" s="8"/>
      <c r="R48" s="9"/>
    </row>
    <row r="49" spans="2:18" ht="18.75" customHeight="1" hidden="1">
      <c r="B49" s="3" t="s">
        <v>72</v>
      </c>
      <c r="D49" s="4">
        <v>241</v>
      </c>
      <c r="F49" s="8" t="s">
        <v>30</v>
      </c>
      <c r="G49" s="8"/>
      <c r="H49" s="8" t="s">
        <v>30</v>
      </c>
      <c r="K49" s="2" t="s">
        <v>18</v>
      </c>
      <c r="L49" s="2"/>
      <c r="M49" s="2"/>
      <c r="N49" s="10"/>
      <c r="O49" s="10"/>
      <c r="P49" s="2"/>
      <c r="Q49" s="2"/>
      <c r="R49" s="11"/>
    </row>
    <row r="50" spans="2:18" ht="18.75" customHeight="1" hidden="1">
      <c r="B50" s="3" t="s">
        <v>73</v>
      </c>
      <c r="D50" s="4">
        <v>242</v>
      </c>
      <c r="F50" s="8" t="s">
        <v>30</v>
      </c>
      <c r="G50" s="8"/>
      <c r="H50" s="8" t="s">
        <v>30</v>
      </c>
      <c r="K50" s="2"/>
      <c r="L50" s="2"/>
      <c r="M50" s="2"/>
      <c r="N50" s="10"/>
      <c r="O50" s="10"/>
      <c r="P50" s="2"/>
      <c r="Q50" s="2"/>
      <c r="R50" s="11"/>
    </row>
    <row r="51" spans="2:18" s="2" customFormat="1" ht="18.75" customHeight="1">
      <c r="B51" s="2" t="s">
        <v>74</v>
      </c>
      <c r="D51" s="10">
        <v>250</v>
      </c>
      <c r="E51" s="10"/>
      <c r="F51" s="15">
        <f>SUM(F52:F55)</f>
        <v>0</v>
      </c>
      <c r="G51" s="15"/>
      <c r="H51" s="15">
        <f>SUM(H52:H55)</f>
        <v>67680000</v>
      </c>
      <c r="K51" s="2" t="s">
        <v>20</v>
      </c>
      <c r="L51" s="3"/>
      <c r="M51" s="3"/>
      <c r="N51" s="13" t="s">
        <v>21</v>
      </c>
      <c r="O51" s="13" t="s">
        <v>22</v>
      </c>
      <c r="P51" s="14" t="s">
        <v>23</v>
      </c>
      <c r="Q51" s="11"/>
      <c r="R51" s="14" t="s">
        <v>24</v>
      </c>
    </row>
    <row r="52" spans="2:18" ht="18.75" customHeight="1" hidden="1">
      <c r="B52" s="3" t="s">
        <v>75</v>
      </c>
      <c r="D52" s="4">
        <v>251</v>
      </c>
      <c r="F52" s="8" t="s">
        <v>30</v>
      </c>
      <c r="G52" s="8"/>
      <c r="H52" s="8" t="s">
        <v>30</v>
      </c>
      <c r="P52" s="8"/>
      <c r="Q52" s="8"/>
      <c r="R52" s="8"/>
    </row>
    <row r="53" spans="2:18" ht="18.75" customHeight="1" hidden="1">
      <c r="B53" s="3" t="s">
        <v>76</v>
      </c>
      <c r="D53" s="4">
        <v>252</v>
      </c>
      <c r="F53" s="8" t="s">
        <v>30</v>
      </c>
      <c r="G53" s="8"/>
      <c r="H53" s="8" t="s">
        <v>30</v>
      </c>
      <c r="K53" s="2"/>
      <c r="L53" s="2" t="s">
        <v>61</v>
      </c>
      <c r="M53" s="2"/>
      <c r="N53" s="10">
        <v>220</v>
      </c>
      <c r="O53" s="10"/>
      <c r="P53" s="15">
        <f>P54+P57+P60+P63</f>
        <v>124864991813</v>
      </c>
      <c r="Q53" s="15"/>
      <c r="R53" s="15">
        <f>R54+R57+R60+R63</f>
        <v>48903786876</v>
      </c>
    </row>
    <row r="54" spans="2:18" ht="18.75" customHeight="1">
      <c r="B54" s="3" t="s">
        <v>77</v>
      </c>
      <c r="D54" s="4">
        <v>258</v>
      </c>
      <c r="E54" s="4" t="s">
        <v>78</v>
      </c>
      <c r="F54" s="8" t="s">
        <v>30</v>
      </c>
      <c r="G54" s="8"/>
      <c r="H54" s="8">
        <f>R72</f>
        <v>67680000</v>
      </c>
      <c r="L54" s="3" t="s">
        <v>62</v>
      </c>
      <c r="N54" s="4">
        <v>221</v>
      </c>
      <c r="P54" s="8">
        <f>SUM(P55:P56)</f>
        <v>5330739655</v>
      </c>
      <c r="Q54" s="8"/>
      <c r="R54" s="8">
        <f>SUM(R55:R56)</f>
        <v>5854452358</v>
      </c>
    </row>
    <row r="55" spans="2:18" ht="18.75" customHeight="1" hidden="1">
      <c r="B55" s="3" t="s">
        <v>79</v>
      </c>
      <c r="D55" s="4">
        <v>259</v>
      </c>
      <c r="F55" s="8" t="s">
        <v>30</v>
      </c>
      <c r="G55" s="8"/>
      <c r="H55" s="8" t="s">
        <v>30</v>
      </c>
      <c r="K55" s="24"/>
      <c r="L55" s="24"/>
      <c r="M55" s="25" t="s">
        <v>64</v>
      </c>
      <c r="N55" s="26">
        <v>222</v>
      </c>
      <c r="O55" s="26"/>
      <c r="P55" s="29">
        <v>14301867854</v>
      </c>
      <c r="Q55" s="29"/>
      <c r="R55" s="29">
        <v>14468158507</v>
      </c>
    </row>
    <row r="56" spans="6:18" ht="18.75" customHeight="1" hidden="1">
      <c r="F56" s="8"/>
      <c r="G56" s="8"/>
      <c r="H56" s="8"/>
      <c r="K56" s="24"/>
      <c r="L56" s="24"/>
      <c r="M56" s="25" t="s">
        <v>65</v>
      </c>
      <c r="N56" s="26">
        <v>223</v>
      </c>
      <c r="O56" s="26"/>
      <c r="P56" s="29">
        <v>-8971128199</v>
      </c>
      <c r="Q56" s="29"/>
      <c r="R56" s="29">
        <v>-8613706149</v>
      </c>
    </row>
    <row r="57" spans="2:18" s="2" customFormat="1" ht="18.75" customHeight="1">
      <c r="B57" s="2" t="s">
        <v>80</v>
      </c>
      <c r="D57" s="10">
        <v>260</v>
      </c>
      <c r="E57" s="10"/>
      <c r="F57" s="15">
        <f>SUM(F58:F60)</f>
        <v>1545931937.4</v>
      </c>
      <c r="G57" s="15"/>
      <c r="H57" s="15">
        <f>SUM(H58:H60)</f>
        <v>1659171659</v>
      </c>
      <c r="K57" s="3"/>
      <c r="L57" s="3" t="s">
        <v>66</v>
      </c>
      <c r="M57" s="3"/>
      <c r="N57" s="4">
        <v>224</v>
      </c>
      <c r="O57" s="4"/>
      <c r="P57" s="8">
        <f>SUM(P58:P59)</f>
        <v>0</v>
      </c>
      <c r="Q57" s="8"/>
      <c r="R57" s="8">
        <f>SUM(R58:R59)</f>
        <v>0</v>
      </c>
    </row>
    <row r="58" spans="2:18" ht="18.75" customHeight="1">
      <c r="B58" s="3" t="s">
        <v>81</v>
      </c>
      <c r="D58" s="4">
        <v>261</v>
      </c>
      <c r="E58" s="4" t="s">
        <v>82</v>
      </c>
      <c r="F58" s="18">
        <f>1499584358.4+P76</f>
        <v>1545931937.4</v>
      </c>
      <c r="G58" s="30"/>
      <c r="H58" s="19">
        <f>1659171659</f>
        <v>1659171659</v>
      </c>
      <c r="K58" s="24"/>
      <c r="L58" s="24"/>
      <c r="M58" s="25" t="s">
        <v>64</v>
      </c>
      <c r="N58" s="26">
        <v>225</v>
      </c>
      <c r="O58" s="26"/>
      <c r="P58" s="29" t="s">
        <v>30</v>
      </c>
      <c r="Q58" s="29"/>
      <c r="R58" s="29" t="s">
        <v>30</v>
      </c>
    </row>
    <row r="59" spans="2:18" ht="16.5" customHeight="1" hidden="1">
      <c r="B59" s="3" t="s">
        <v>83</v>
      </c>
      <c r="D59" s="4">
        <v>262</v>
      </c>
      <c r="F59" s="8" t="s">
        <v>30</v>
      </c>
      <c r="G59" s="8"/>
      <c r="H59" s="8" t="s">
        <v>30</v>
      </c>
      <c r="K59" s="24"/>
      <c r="L59" s="24"/>
      <c r="M59" s="25" t="s">
        <v>65</v>
      </c>
      <c r="N59" s="26">
        <v>226</v>
      </c>
      <c r="O59" s="26"/>
      <c r="P59" s="29" t="s">
        <v>30</v>
      </c>
      <c r="Q59" s="29"/>
      <c r="R59" s="29" t="s">
        <v>30</v>
      </c>
    </row>
    <row r="60" spans="2:18" ht="16.5" customHeight="1" hidden="1">
      <c r="B60" s="3" t="s">
        <v>84</v>
      </c>
      <c r="D60" s="4">
        <v>268</v>
      </c>
      <c r="F60" s="8" t="s">
        <v>30</v>
      </c>
      <c r="G60" s="8"/>
      <c r="H60" s="8" t="s">
        <v>30</v>
      </c>
      <c r="L60" s="3" t="s">
        <v>67</v>
      </c>
      <c r="N60" s="4">
        <v>227</v>
      </c>
      <c r="P60" s="8">
        <f>SUM(P61:P62)</f>
        <v>0</v>
      </c>
      <c r="Q60" s="8"/>
      <c r="R60" s="8">
        <f>SUM(R61:R62)</f>
        <v>0</v>
      </c>
    </row>
    <row r="61" spans="6:18" ht="16.5" customHeight="1" hidden="1">
      <c r="F61" s="8"/>
      <c r="G61" s="8"/>
      <c r="H61" s="8"/>
      <c r="K61" s="24"/>
      <c r="L61" s="24"/>
      <c r="M61" s="25" t="s">
        <v>64</v>
      </c>
      <c r="N61" s="26">
        <v>228</v>
      </c>
      <c r="O61" s="26"/>
      <c r="P61" s="8" t="s">
        <v>30</v>
      </c>
      <c r="Q61" s="29"/>
      <c r="R61" s="8" t="s">
        <v>30</v>
      </c>
    </row>
    <row r="62" spans="1:18" s="2" customFormat="1" ht="33" customHeight="1" thickBot="1">
      <c r="A62" s="2" t="s">
        <v>14</v>
      </c>
      <c r="D62" s="10">
        <v>270</v>
      </c>
      <c r="E62" s="10"/>
      <c r="F62" s="31">
        <f>F8+F30</f>
        <v>244654922128.8</v>
      </c>
      <c r="G62" s="15"/>
      <c r="H62" s="31">
        <f>H8+H30</f>
        <v>144059511693</v>
      </c>
      <c r="I62" s="16"/>
      <c r="J62" s="16"/>
      <c r="K62" s="24"/>
      <c r="L62" s="24"/>
      <c r="M62" s="25" t="s">
        <v>65</v>
      </c>
      <c r="N62" s="26">
        <v>229</v>
      </c>
      <c r="O62" s="26"/>
      <c r="P62" s="8" t="s">
        <v>30</v>
      </c>
      <c r="Q62" s="29"/>
      <c r="R62" s="8" t="s">
        <v>30</v>
      </c>
    </row>
    <row r="63" spans="4:18" s="2" customFormat="1" ht="18" customHeight="1" thickTop="1">
      <c r="D63" s="10"/>
      <c r="E63" s="10"/>
      <c r="F63" s="15"/>
      <c r="G63" s="15"/>
      <c r="H63" s="15"/>
      <c r="I63" s="16"/>
      <c r="J63" s="16"/>
      <c r="K63" s="3"/>
      <c r="L63" s="3" t="s">
        <v>68</v>
      </c>
      <c r="M63" s="3"/>
      <c r="N63" s="4">
        <v>230</v>
      </c>
      <c r="O63" s="4"/>
      <c r="P63" s="8">
        <v>119534252158</v>
      </c>
      <c r="Q63" s="8"/>
      <c r="R63" s="8">
        <v>43049334518</v>
      </c>
    </row>
    <row r="64" spans="1:18" s="2" customFormat="1" ht="18" customHeight="1">
      <c r="A64" s="2" t="s">
        <v>15</v>
      </c>
      <c r="B64" s="3"/>
      <c r="C64" s="3"/>
      <c r="D64" s="4"/>
      <c r="E64" s="4"/>
      <c r="F64" s="3"/>
      <c r="G64" s="3"/>
      <c r="H64" s="3"/>
      <c r="I64" s="16"/>
      <c r="J64" s="16"/>
      <c r="K64" s="3"/>
      <c r="L64" s="3"/>
      <c r="M64" s="3"/>
      <c r="N64" s="4"/>
      <c r="O64" s="4"/>
      <c r="P64" s="8"/>
      <c r="Q64" s="8"/>
      <c r="R64" s="8"/>
    </row>
    <row r="65" spans="2:18" s="2" customFormat="1" ht="7.5" customHeight="1">
      <c r="B65" s="3"/>
      <c r="C65" s="3"/>
      <c r="D65" s="4"/>
      <c r="E65" s="4"/>
      <c r="F65" s="3"/>
      <c r="G65" s="3"/>
      <c r="H65" s="3"/>
      <c r="I65" s="16"/>
      <c r="J65" s="16"/>
      <c r="L65" s="2" t="s">
        <v>70</v>
      </c>
      <c r="N65" s="10">
        <v>240</v>
      </c>
      <c r="P65" s="15">
        <f>SUM(P66:P67)</f>
        <v>0</v>
      </c>
      <c r="Q65" s="15"/>
      <c r="R65" s="15">
        <f>SUM(R66:R67)</f>
        <v>0</v>
      </c>
    </row>
    <row r="66" spans="1:18" s="2" customFormat="1" ht="18" customHeight="1">
      <c r="A66" s="5" t="s">
        <v>71</v>
      </c>
      <c r="B66" s="6"/>
      <c r="C66" s="6"/>
      <c r="D66" s="7"/>
      <c r="E66" s="7"/>
      <c r="F66" s="6"/>
      <c r="G66" s="8"/>
      <c r="H66" s="9"/>
      <c r="I66" s="16"/>
      <c r="J66" s="16"/>
      <c r="K66" s="3"/>
      <c r="L66" s="3" t="s">
        <v>72</v>
      </c>
      <c r="M66" s="3"/>
      <c r="N66" s="4">
        <v>241</v>
      </c>
      <c r="O66" s="4"/>
      <c r="P66" s="8" t="s">
        <v>30</v>
      </c>
      <c r="Q66" s="8"/>
      <c r="R66" s="8" t="s">
        <v>30</v>
      </c>
    </row>
    <row r="67" spans="1:18" s="2" customFormat="1" ht="18" customHeight="1">
      <c r="A67" s="2" t="s">
        <v>18</v>
      </c>
      <c r="D67" s="10"/>
      <c r="E67" s="10"/>
      <c r="H67" s="11"/>
      <c r="I67" s="16"/>
      <c r="J67" s="16"/>
      <c r="K67" s="3"/>
      <c r="L67" s="3" t="s">
        <v>73</v>
      </c>
      <c r="M67" s="3"/>
      <c r="N67" s="4">
        <v>242</v>
      </c>
      <c r="O67" s="4"/>
      <c r="P67" s="8" t="s">
        <v>30</v>
      </c>
      <c r="Q67" s="8"/>
      <c r="R67" s="8" t="s">
        <v>30</v>
      </c>
    </row>
    <row r="68" spans="4:18" s="2" customFormat="1" ht="7.5" customHeight="1">
      <c r="D68" s="10"/>
      <c r="E68" s="10"/>
      <c r="H68" s="11"/>
      <c r="I68" s="16"/>
      <c r="J68" s="16"/>
      <c r="K68" s="3"/>
      <c r="L68" s="3"/>
      <c r="M68" s="3"/>
      <c r="N68" s="4"/>
      <c r="O68" s="4"/>
      <c r="P68" s="8"/>
      <c r="Q68" s="8"/>
      <c r="R68" s="8"/>
    </row>
    <row r="69" spans="1:18" s="2" customFormat="1" ht="18" customHeight="1">
      <c r="A69" s="3"/>
      <c r="B69" s="3"/>
      <c r="C69" s="3"/>
      <c r="D69" s="4"/>
      <c r="E69" s="4"/>
      <c r="F69" s="3"/>
      <c r="G69" s="3"/>
      <c r="H69" s="12" t="s">
        <v>19</v>
      </c>
      <c r="I69" s="16"/>
      <c r="J69" s="16"/>
      <c r="L69" s="2" t="s">
        <v>74</v>
      </c>
      <c r="N69" s="10">
        <v>250</v>
      </c>
      <c r="O69" s="10"/>
      <c r="P69" s="15">
        <f>SUM(P70:P73)</f>
        <v>42611448055</v>
      </c>
      <c r="Q69" s="15"/>
      <c r="R69" s="15">
        <f>SUM(R70:R73)</f>
        <v>33450040304</v>
      </c>
    </row>
    <row r="70" spans="1:18" ht="32.25" customHeight="1">
      <c r="A70" s="2" t="s">
        <v>85</v>
      </c>
      <c r="D70" s="13" t="s">
        <v>21</v>
      </c>
      <c r="E70" s="13" t="s">
        <v>22</v>
      </c>
      <c r="F70" s="14" t="s">
        <v>23</v>
      </c>
      <c r="G70" s="11"/>
      <c r="H70" s="14" t="s">
        <v>24</v>
      </c>
      <c r="L70" s="3" t="s">
        <v>75</v>
      </c>
      <c r="N70" s="4">
        <v>251</v>
      </c>
      <c r="P70" s="8" t="s">
        <v>30</v>
      </c>
      <c r="Q70" s="8"/>
      <c r="R70" s="8" t="s">
        <v>30</v>
      </c>
    </row>
    <row r="71" spans="1:18" s="2" customFormat="1" ht="16.5" customHeight="1">
      <c r="A71" s="2" t="s">
        <v>86</v>
      </c>
      <c r="D71" s="10">
        <v>300</v>
      </c>
      <c r="E71" s="10"/>
      <c r="F71" s="15">
        <f>F72+F83</f>
        <v>87200964798</v>
      </c>
      <c r="G71" s="15"/>
      <c r="H71" s="15">
        <f>H72+H83</f>
        <v>31628988657</v>
      </c>
      <c r="K71" s="3"/>
      <c r="L71" s="3" t="s">
        <v>76</v>
      </c>
      <c r="M71" s="3"/>
      <c r="N71" s="4">
        <v>252</v>
      </c>
      <c r="O71" s="4"/>
      <c r="P71" s="8">
        <v>42611448055</v>
      </c>
      <c r="Q71" s="8"/>
      <c r="R71" s="8">
        <v>33382360304</v>
      </c>
    </row>
    <row r="72" spans="1:18" ht="19.5" customHeight="1">
      <c r="A72" s="2"/>
      <c r="B72" s="2" t="s">
        <v>87</v>
      </c>
      <c r="C72" s="2"/>
      <c r="D72" s="10">
        <v>310</v>
      </c>
      <c r="F72" s="15">
        <f>SUM(F73:F82)</f>
        <v>39531585698</v>
      </c>
      <c r="G72" s="8"/>
      <c r="H72" s="15">
        <f>SUM(H73:H82)</f>
        <v>22835624878</v>
      </c>
      <c r="I72" s="20"/>
      <c r="J72" s="23"/>
      <c r="L72" s="3" t="s">
        <v>77</v>
      </c>
      <c r="N72" s="4">
        <v>258</v>
      </c>
      <c r="P72" s="8" t="s">
        <v>30</v>
      </c>
      <c r="Q72" s="8"/>
      <c r="R72" s="8">
        <v>67680000</v>
      </c>
    </row>
    <row r="73" spans="2:18" ht="19.5" customHeight="1">
      <c r="B73" s="3" t="s">
        <v>88</v>
      </c>
      <c r="D73" s="4">
        <v>311</v>
      </c>
      <c r="E73" s="4" t="s">
        <v>89</v>
      </c>
      <c r="F73" s="18">
        <f>P93</f>
        <v>29149930668</v>
      </c>
      <c r="G73" s="19"/>
      <c r="H73" s="19">
        <f>3934766400+R93</f>
        <v>10129064600</v>
      </c>
      <c r="L73" s="3" t="s">
        <v>79</v>
      </c>
      <c r="N73" s="4">
        <v>259</v>
      </c>
      <c r="P73" s="8" t="s">
        <v>30</v>
      </c>
      <c r="Q73" s="8"/>
      <c r="R73" s="8" t="s">
        <v>30</v>
      </c>
    </row>
    <row r="74" spans="2:18" ht="19.5" customHeight="1">
      <c r="B74" s="3" t="s">
        <v>90</v>
      </c>
      <c r="D74" s="4">
        <v>312</v>
      </c>
      <c r="F74" s="18">
        <f>898486220+P94-I74</f>
        <v>2388332343</v>
      </c>
      <c r="G74" s="19"/>
      <c r="H74" s="19">
        <v>11533830742</v>
      </c>
      <c r="I74" s="127">
        <f>200762907+1042758227</f>
        <v>1243521134</v>
      </c>
      <c r="J74" s="128" t="s">
        <v>37</v>
      </c>
      <c r="P74" s="8"/>
      <c r="Q74" s="8"/>
      <c r="R74" s="8"/>
    </row>
    <row r="75" spans="2:18" ht="19.5" customHeight="1">
      <c r="B75" s="3" t="s">
        <v>91</v>
      </c>
      <c r="D75" s="4">
        <v>313</v>
      </c>
      <c r="F75" s="18">
        <f>530880+'[1]BTDC'!F8+'[1]BTDC'!F11+P95</f>
        <v>7043985026</v>
      </c>
      <c r="G75" s="19"/>
      <c r="H75" s="19">
        <f>R95</f>
        <v>5000000</v>
      </c>
      <c r="K75" s="2"/>
      <c r="L75" s="2" t="s">
        <v>80</v>
      </c>
      <c r="M75" s="2"/>
      <c r="N75" s="10">
        <v>260</v>
      </c>
      <c r="O75" s="10"/>
      <c r="P75" s="15">
        <f>SUM(P76:P78)</f>
        <v>46347579</v>
      </c>
      <c r="Q75" s="15"/>
      <c r="R75" s="15">
        <f>SUM(R76:R78)</f>
        <v>0</v>
      </c>
    </row>
    <row r="76" spans="2:18" ht="19.5" customHeight="1">
      <c r="B76" s="3" t="s">
        <v>92</v>
      </c>
      <c r="D76" s="4">
        <v>314</v>
      </c>
      <c r="E76" s="4" t="s">
        <v>93</v>
      </c>
      <c r="F76" s="32"/>
      <c r="G76" s="19"/>
      <c r="H76" s="19">
        <v>145658137</v>
      </c>
      <c r="I76" s="21"/>
      <c r="J76" s="23"/>
      <c r="L76" s="3" t="s">
        <v>81</v>
      </c>
      <c r="N76" s="4">
        <v>261</v>
      </c>
      <c r="P76" s="8">
        <v>46347579</v>
      </c>
      <c r="Q76" s="8"/>
      <c r="R76" s="8" t="s">
        <v>30</v>
      </c>
    </row>
    <row r="77" spans="2:18" ht="19.5" customHeight="1">
      <c r="B77" s="3" t="s">
        <v>94</v>
      </c>
      <c r="D77" s="4">
        <v>315</v>
      </c>
      <c r="F77" s="18">
        <f>447596352+P97</f>
        <v>776938480</v>
      </c>
      <c r="G77" s="19"/>
      <c r="H77" s="19">
        <f>298826617-282800+R97</f>
        <v>526584448</v>
      </c>
      <c r="L77" s="3" t="s">
        <v>83</v>
      </c>
      <c r="N77" s="4">
        <v>262</v>
      </c>
      <c r="P77" s="8" t="s">
        <v>30</v>
      </c>
      <c r="Q77" s="8"/>
      <c r="R77" s="8" t="s">
        <v>30</v>
      </c>
    </row>
    <row r="78" spans="2:18" ht="19.5" customHeight="1" hidden="1">
      <c r="B78" s="3" t="s">
        <v>95</v>
      </c>
      <c r="D78" s="4">
        <v>316</v>
      </c>
      <c r="F78" s="8" t="s">
        <v>30</v>
      </c>
      <c r="G78" s="8"/>
      <c r="H78" s="8" t="s">
        <v>30</v>
      </c>
      <c r="L78" s="3" t="s">
        <v>84</v>
      </c>
      <c r="N78" s="4">
        <v>268</v>
      </c>
      <c r="P78" s="8" t="s">
        <v>30</v>
      </c>
      <c r="Q78" s="8"/>
      <c r="R78" s="8" t="s">
        <v>30</v>
      </c>
    </row>
    <row r="79" spans="2:18" ht="19.5" customHeight="1" hidden="1">
      <c r="B79" s="3" t="s">
        <v>96</v>
      </c>
      <c r="D79" s="4">
        <v>317</v>
      </c>
      <c r="F79" s="8" t="s">
        <v>30</v>
      </c>
      <c r="G79" s="8"/>
      <c r="H79" s="8" t="s">
        <v>30</v>
      </c>
      <c r="P79" s="8"/>
      <c r="Q79" s="8"/>
      <c r="R79" s="8"/>
    </row>
    <row r="80" spans="2:18" ht="19.5" customHeight="1" hidden="1">
      <c r="B80" s="3" t="s">
        <v>97</v>
      </c>
      <c r="D80" s="4">
        <v>318</v>
      </c>
      <c r="F80" s="8" t="s">
        <v>30</v>
      </c>
      <c r="G80" s="8"/>
      <c r="H80" s="8" t="s">
        <v>30</v>
      </c>
      <c r="K80" s="2" t="s">
        <v>14</v>
      </c>
      <c r="L80" s="2"/>
      <c r="M80" s="2"/>
      <c r="N80" s="10">
        <v>270</v>
      </c>
      <c r="O80" s="10"/>
      <c r="P80" s="31" t="e">
        <f>P9+#REF!</f>
        <v>#REF!</v>
      </c>
      <c r="Q80" s="15"/>
      <c r="R80" s="31" t="e">
        <f>R9+#REF!</f>
        <v>#REF!</v>
      </c>
    </row>
    <row r="81" spans="2:18" ht="19.5" customHeight="1">
      <c r="B81" s="3" t="s">
        <v>98</v>
      </c>
      <c r="D81" s="4">
        <v>319</v>
      </c>
      <c r="E81" s="4" t="s">
        <v>99</v>
      </c>
      <c r="F81" s="18">
        <f>78422855+P101</f>
        <v>172399181</v>
      </c>
      <c r="G81" s="19"/>
      <c r="H81" s="19">
        <f>62250151+R101</f>
        <v>495486951</v>
      </c>
      <c r="I81" s="21"/>
      <c r="J81" s="21"/>
      <c r="K81" s="2"/>
      <c r="L81" s="2"/>
      <c r="M81" s="2"/>
      <c r="N81" s="10"/>
      <c r="O81" s="10"/>
      <c r="P81" s="15"/>
      <c r="Q81" s="15"/>
      <c r="R81" s="15"/>
    </row>
    <row r="82" spans="2:11" ht="19.5" customHeight="1" hidden="1">
      <c r="B82" s="3" t="s">
        <v>100</v>
      </c>
      <c r="D82" s="4">
        <v>320</v>
      </c>
      <c r="F82" s="8" t="s">
        <v>30</v>
      </c>
      <c r="G82" s="8"/>
      <c r="H82" s="8" t="s">
        <v>30</v>
      </c>
      <c r="K82" s="2" t="s">
        <v>16</v>
      </c>
    </row>
    <row r="83" spans="2:18" s="2" customFormat="1" ht="19.5" customHeight="1">
      <c r="B83" s="2" t="s">
        <v>101</v>
      </c>
      <c r="D83" s="10">
        <v>330</v>
      </c>
      <c r="E83" s="10"/>
      <c r="F83" s="15">
        <f>SUM(F84:F90)</f>
        <v>47669379100</v>
      </c>
      <c r="G83" s="15"/>
      <c r="H83" s="15">
        <f>SUM(H84:H90)</f>
        <v>8793363779</v>
      </c>
      <c r="L83" s="3"/>
      <c r="M83" s="3"/>
      <c r="N83" s="4"/>
      <c r="O83" s="4"/>
      <c r="P83" s="3"/>
      <c r="Q83" s="3"/>
      <c r="R83" s="3"/>
    </row>
    <row r="84" spans="2:18" ht="19.5" customHeight="1" hidden="1">
      <c r="B84" s="3" t="s">
        <v>102</v>
      </c>
      <c r="D84" s="4">
        <v>331</v>
      </c>
      <c r="F84" s="8" t="s">
        <v>30</v>
      </c>
      <c r="G84" s="8"/>
      <c r="H84" s="8" t="s">
        <v>30</v>
      </c>
      <c r="K84" s="5" t="s">
        <v>71</v>
      </c>
      <c r="L84" s="6"/>
      <c r="M84" s="6"/>
      <c r="N84" s="7"/>
      <c r="O84" s="7"/>
      <c r="P84" s="6"/>
      <c r="Q84" s="8"/>
      <c r="R84" s="9"/>
    </row>
    <row r="85" spans="2:18" ht="19.5" customHeight="1" hidden="1">
      <c r="B85" s="3" t="s">
        <v>103</v>
      </c>
      <c r="D85" s="4">
        <v>332</v>
      </c>
      <c r="F85" s="8" t="s">
        <v>30</v>
      </c>
      <c r="G85" s="8"/>
      <c r="H85" s="8" t="s">
        <v>30</v>
      </c>
      <c r="K85" s="2" t="s">
        <v>18</v>
      </c>
      <c r="L85" s="2"/>
      <c r="M85" s="2"/>
      <c r="N85" s="10"/>
      <c r="O85" s="10"/>
      <c r="P85" s="2"/>
      <c r="Q85" s="2"/>
      <c r="R85" s="11"/>
    </row>
    <row r="86" spans="2:18" ht="19.5" customHeight="1">
      <c r="B86" s="3" t="s">
        <v>104</v>
      </c>
      <c r="D86" s="4">
        <v>333</v>
      </c>
      <c r="F86" s="8">
        <f>P107</f>
        <v>200000000</v>
      </c>
      <c r="G86" s="8"/>
      <c r="H86" s="8"/>
      <c r="K86" s="2"/>
      <c r="L86" s="2"/>
      <c r="M86" s="2"/>
      <c r="N86" s="10"/>
      <c r="O86" s="10"/>
      <c r="P86" s="2"/>
      <c r="Q86" s="2"/>
      <c r="R86" s="11"/>
    </row>
    <row r="87" spans="2:18" ht="19.5" customHeight="1">
      <c r="B87" s="3" t="s">
        <v>105</v>
      </c>
      <c r="D87" s="4">
        <v>334</v>
      </c>
      <c r="E87" s="4" t="s">
        <v>106</v>
      </c>
      <c r="F87" s="8">
        <f>P108</f>
        <v>47469379100</v>
      </c>
      <c r="G87" s="8"/>
      <c r="H87" s="19">
        <f>8161363779+R108</f>
        <v>8793363779</v>
      </c>
      <c r="R87" s="12" t="s">
        <v>19</v>
      </c>
    </row>
    <row r="88" spans="2:18" ht="19.5" customHeight="1" hidden="1">
      <c r="B88" s="3" t="s">
        <v>107</v>
      </c>
      <c r="D88" s="4">
        <v>335</v>
      </c>
      <c r="F88" s="8" t="s">
        <v>30</v>
      </c>
      <c r="G88" s="8"/>
      <c r="H88" s="8" t="s">
        <v>30</v>
      </c>
      <c r="K88" s="2" t="s">
        <v>85</v>
      </c>
      <c r="N88" s="13" t="s">
        <v>21</v>
      </c>
      <c r="O88" s="13" t="s">
        <v>22</v>
      </c>
      <c r="P88" s="14" t="s">
        <v>23</v>
      </c>
      <c r="Q88" s="11"/>
      <c r="R88" s="14" t="s">
        <v>24</v>
      </c>
    </row>
    <row r="89" spans="2:18" ht="19.5" customHeight="1" hidden="1">
      <c r="B89" s="3" t="s">
        <v>108</v>
      </c>
      <c r="D89" s="4">
        <v>336</v>
      </c>
      <c r="F89" s="8" t="s">
        <v>30</v>
      </c>
      <c r="G89" s="8"/>
      <c r="H89" s="8" t="s">
        <v>30</v>
      </c>
      <c r="K89" s="2"/>
      <c r="N89" s="13"/>
      <c r="O89" s="13"/>
      <c r="P89" s="17"/>
      <c r="Q89" s="11"/>
      <c r="R89" s="17"/>
    </row>
    <row r="90" spans="2:18" ht="19.5" customHeight="1" hidden="1">
      <c r="B90" s="3" t="s">
        <v>109</v>
      </c>
      <c r="D90" s="4">
        <v>337</v>
      </c>
      <c r="F90" s="8" t="s">
        <v>30</v>
      </c>
      <c r="G90" s="8"/>
      <c r="H90" s="8" t="s">
        <v>30</v>
      </c>
      <c r="K90" s="2" t="s">
        <v>86</v>
      </c>
      <c r="L90" s="2"/>
      <c r="M90" s="2"/>
      <c r="N90" s="10">
        <v>300</v>
      </c>
      <c r="O90" s="10"/>
      <c r="P90" s="15">
        <f>P92+P104</f>
        <v>86972869825</v>
      </c>
      <c r="Q90" s="15"/>
      <c r="R90" s="15">
        <f>R92+R104</f>
        <v>11727858555</v>
      </c>
    </row>
    <row r="91" spans="1:18" s="2" customFormat="1" ht="19.5" customHeight="1">
      <c r="A91" s="2" t="s">
        <v>110</v>
      </c>
      <c r="D91" s="10">
        <v>400</v>
      </c>
      <c r="E91" s="10"/>
      <c r="F91" s="15">
        <f>F92+F104</f>
        <v>157453957331</v>
      </c>
      <c r="G91" s="15"/>
      <c r="H91" s="15">
        <f>H92+H104</f>
        <v>112430523036</v>
      </c>
      <c r="N91" s="10"/>
      <c r="O91" s="10"/>
      <c r="P91" s="15"/>
      <c r="Q91" s="15"/>
      <c r="R91" s="15"/>
    </row>
    <row r="92" spans="2:18" s="2" customFormat="1" ht="19.5" customHeight="1">
      <c r="B92" s="2" t="s">
        <v>111</v>
      </c>
      <c r="D92" s="10">
        <v>410</v>
      </c>
      <c r="E92" s="4" t="s">
        <v>112</v>
      </c>
      <c r="F92" s="15">
        <f>SUM(F93:F103)</f>
        <v>157886316831</v>
      </c>
      <c r="G92" s="15"/>
      <c r="H92" s="15">
        <f>SUM(H93:H103)</f>
        <v>112824953036</v>
      </c>
      <c r="L92" s="2" t="s">
        <v>87</v>
      </c>
      <c r="N92" s="10">
        <v>310</v>
      </c>
      <c r="O92" s="4"/>
      <c r="P92" s="15">
        <f>SUM(P93:P102)</f>
        <v>39303490725</v>
      </c>
      <c r="Q92" s="8"/>
      <c r="R92" s="15">
        <f>SUM(R93:R102)</f>
        <v>11095858555</v>
      </c>
    </row>
    <row r="93" spans="2:18" ht="19.5" customHeight="1">
      <c r="B93" s="3" t="s">
        <v>113</v>
      </c>
      <c r="D93" s="4">
        <v>411</v>
      </c>
      <c r="F93" s="18">
        <f>42611448055-P71+P116</f>
        <v>84703500000</v>
      </c>
      <c r="G93" s="19"/>
      <c r="H93" s="19">
        <f>33382360304-R71+R116</f>
        <v>54483550000</v>
      </c>
      <c r="L93" s="3" t="s">
        <v>88</v>
      </c>
      <c r="N93" s="4">
        <v>311</v>
      </c>
      <c r="P93" s="8">
        <v>29149930668</v>
      </c>
      <c r="Q93" s="8"/>
      <c r="R93" s="8">
        <v>6194298200</v>
      </c>
    </row>
    <row r="94" spans="2:18" ht="19.5" customHeight="1">
      <c r="B94" s="3" t="s">
        <v>114</v>
      </c>
      <c r="D94" s="4">
        <v>412</v>
      </c>
      <c r="F94" s="8">
        <f>P117</f>
        <v>58558245765</v>
      </c>
      <c r="G94" s="8"/>
      <c r="H94" s="8">
        <f>R117</f>
        <v>42096692432</v>
      </c>
      <c r="L94" s="3" t="s">
        <v>90</v>
      </c>
      <c r="N94" s="4">
        <v>312</v>
      </c>
      <c r="P94" s="8">
        <f>2733367257</f>
        <v>2733367257</v>
      </c>
      <c r="Q94" s="8"/>
      <c r="R94" s="8">
        <v>4072700229</v>
      </c>
    </row>
    <row r="95" spans="2:18" ht="19.5" customHeight="1" hidden="1">
      <c r="B95" s="3" t="s">
        <v>115</v>
      </c>
      <c r="D95" s="4">
        <v>413</v>
      </c>
      <c r="F95" s="8" t="s">
        <v>30</v>
      </c>
      <c r="G95" s="8"/>
      <c r="H95" s="8" t="s">
        <v>30</v>
      </c>
      <c r="L95" s="3" t="s">
        <v>91</v>
      </c>
      <c r="N95" s="4">
        <v>313</v>
      </c>
      <c r="P95" s="8">
        <v>6996874346</v>
      </c>
      <c r="Q95" s="8"/>
      <c r="R95" s="8">
        <v>5000000</v>
      </c>
    </row>
    <row r="96" spans="2:18" ht="19.5" customHeight="1">
      <c r="B96" s="3" t="s">
        <v>116</v>
      </c>
      <c r="D96" s="4">
        <v>414</v>
      </c>
      <c r="F96" s="8">
        <f>P119</f>
        <v>-8352000</v>
      </c>
      <c r="G96" s="8"/>
      <c r="H96" s="8">
        <f>R119</f>
        <v>-8352000</v>
      </c>
      <c r="I96" s="23"/>
      <c r="L96" s="3" t="s">
        <v>92</v>
      </c>
      <c r="N96" s="4">
        <v>314</v>
      </c>
      <c r="P96" s="8" t="s">
        <v>30</v>
      </c>
      <c r="Q96" s="8"/>
      <c r="R96" s="8">
        <v>162582695</v>
      </c>
    </row>
    <row r="97" spans="2:18" ht="19.5" customHeight="1" hidden="1">
      <c r="B97" s="3" t="s">
        <v>117</v>
      </c>
      <c r="D97" s="4">
        <v>415</v>
      </c>
      <c r="F97" s="8" t="s">
        <v>30</v>
      </c>
      <c r="G97" s="8"/>
      <c r="H97" s="8" t="s">
        <v>30</v>
      </c>
      <c r="L97" s="3" t="s">
        <v>94</v>
      </c>
      <c r="N97" s="4">
        <v>315</v>
      </c>
      <c r="P97" s="8">
        <v>329342128</v>
      </c>
      <c r="Q97" s="8"/>
      <c r="R97" s="8">
        <v>228040631</v>
      </c>
    </row>
    <row r="98" spans="2:18" ht="19.5" customHeight="1" hidden="1">
      <c r="B98" s="3" t="s">
        <v>118</v>
      </c>
      <c r="D98" s="4">
        <v>416</v>
      </c>
      <c r="F98" s="8" t="s">
        <v>30</v>
      </c>
      <c r="G98" s="8"/>
      <c r="H98" s="8" t="s">
        <v>30</v>
      </c>
      <c r="L98" s="3" t="s">
        <v>95</v>
      </c>
      <c r="N98" s="4">
        <v>316</v>
      </c>
      <c r="Q98" s="8"/>
      <c r="R98" s="8"/>
    </row>
    <row r="99" spans="2:18" ht="19.5" customHeight="1">
      <c r="B99" s="3" t="s">
        <v>119</v>
      </c>
      <c r="D99" s="4">
        <v>417</v>
      </c>
      <c r="F99" s="8">
        <f>P120</f>
        <v>5487848558</v>
      </c>
      <c r="G99" s="8"/>
      <c r="H99" s="8">
        <f>R120</f>
        <v>5287848558</v>
      </c>
      <c r="I99" s="23"/>
      <c r="L99" s="3" t="s">
        <v>96</v>
      </c>
      <c r="N99" s="4">
        <v>317</v>
      </c>
      <c r="P99" s="8" t="s">
        <v>30</v>
      </c>
      <c r="Q99" s="8"/>
      <c r="R99" s="8" t="s">
        <v>30</v>
      </c>
    </row>
    <row r="100" spans="2:18" ht="19.5" customHeight="1">
      <c r="B100" s="3" t="s">
        <v>120</v>
      </c>
      <c r="D100" s="4">
        <v>418</v>
      </c>
      <c r="F100" s="8">
        <f>P121</f>
        <v>2045000000</v>
      </c>
      <c r="G100" s="8"/>
      <c r="H100" s="8">
        <f>R121</f>
        <v>1695000000</v>
      </c>
      <c r="L100" s="3" t="s">
        <v>97</v>
      </c>
      <c r="N100" s="4">
        <v>318</v>
      </c>
      <c r="P100" s="8" t="s">
        <v>30</v>
      </c>
      <c r="Q100" s="8"/>
      <c r="R100" s="8" t="s">
        <v>30</v>
      </c>
    </row>
    <row r="101" spans="2:18" ht="19.5" customHeight="1" hidden="1">
      <c r="B101" s="3" t="s">
        <v>121</v>
      </c>
      <c r="D101" s="4">
        <v>419</v>
      </c>
      <c r="L101" s="3" t="s">
        <v>98</v>
      </c>
      <c r="N101" s="4">
        <v>319</v>
      </c>
      <c r="P101" s="8">
        <v>93976326</v>
      </c>
      <c r="Q101" s="8"/>
      <c r="R101" s="8">
        <v>433236800</v>
      </c>
    </row>
    <row r="102" spans="2:18" ht="19.5" customHeight="1">
      <c r="B102" s="3" t="s">
        <v>122</v>
      </c>
      <c r="D102" s="4">
        <v>420</v>
      </c>
      <c r="F102" s="18">
        <f>9819658593+'[1]BTDC'!G9-'[1]BTDC'!F8-'[1]BTDC'!F11+P123</f>
        <v>7100074508</v>
      </c>
      <c r="G102" s="19"/>
      <c r="H102" s="19">
        <f>6490157202+R123</f>
        <v>9270214046</v>
      </c>
      <c r="I102" s="21"/>
      <c r="J102" s="21"/>
      <c r="L102" s="3" t="s">
        <v>100</v>
      </c>
      <c r="N102" s="4">
        <v>320</v>
      </c>
      <c r="P102" s="8" t="s">
        <v>30</v>
      </c>
      <c r="Q102" s="8"/>
      <c r="R102" s="8" t="s">
        <v>30</v>
      </c>
    </row>
    <row r="103" spans="2:18" ht="19.5" customHeight="1" hidden="1">
      <c r="B103" s="3" t="s">
        <v>123</v>
      </c>
      <c r="D103" s="4">
        <v>421</v>
      </c>
      <c r="F103" s="8" t="s">
        <v>30</v>
      </c>
      <c r="G103" s="8"/>
      <c r="H103" s="8" t="s">
        <v>30</v>
      </c>
      <c r="I103" s="23"/>
      <c r="J103" s="21"/>
      <c r="P103" s="8"/>
      <c r="Q103" s="8"/>
      <c r="R103" s="8"/>
    </row>
    <row r="104" spans="2:18" s="2" customFormat="1" ht="19.5" customHeight="1">
      <c r="B104" s="2" t="s">
        <v>124</v>
      </c>
      <c r="D104" s="10">
        <v>430</v>
      </c>
      <c r="E104" s="10"/>
      <c r="F104" s="15">
        <f>SUM(F105:F107)</f>
        <v>-432359500</v>
      </c>
      <c r="G104" s="15"/>
      <c r="H104" s="15">
        <f>SUM(H105:H107)</f>
        <v>-394430000</v>
      </c>
      <c r="L104" s="2" t="s">
        <v>101</v>
      </c>
      <c r="N104" s="10">
        <v>330</v>
      </c>
      <c r="O104" s="10"/>
      <c r="P104" s="15">
        <f>SUM(P105:P111)</f>
        <v>47669379100</v>
      </c>
      <c r="Q104" s="15"/>
      <c r="R104" s="15">
        <f>SUM(R105:R111)</f>
        <v>632000000</v>
      </c>
    </row>
    <row r="105" spans="2:18" ht="19.5" customHeight="1">
      <c r="B105" s="3" t="s">
        <v>125</v>
      </c>
      <c r="D105" s="4">
        <v>431</v>
      </c>
      <c r="F105" s="18">
        <f>-284157000+P135</f>
        <v>-432359500</v>
      </c>
      <c r="G105" s="19"/>
      <c r="H105" s="19">
        <f>-232920000+R135</f>
        <v>-394430000</v>
      </c>
      <c r="L105" s="3" t="s">
        <v>102</v>
      </c>
      <c r="N105" s="4">
        <v>331</v>
      </c>
      <c r="P105" s="8" t="s">
        <v>30</v>
      </c>
      <c r="Q105" s="8"/>
      <c r="R105" s="8" t="s">
        <v>30</v>
      </c>
    </row>
    <row r="106" spans="2:18" ht="16.5" hidden="1">
      <c r="B106" s="3" t="s">
        <v>126</v>
      </c>
      <c r="D106" s="4">
        <v>432</v>
      </c>
      <c r="F106" s="8" t="s">
        <v>30</v>
      </c>
      <c r="G106" s="8"/>
      <c r="H106" s="8" t="s">
        <v>30</v>
      </c>
      <c r="L106" s="3" t="s">
        <v>103</v>
      </c>
      <c r="N106" s="4">
        <v>332</v>
      </c>
      <c r="P106" s="8" t="s">
        <v>30</v>
      </c>
      <c r="Q106" s="8"/>
      <c r="R106" s="8" t="s">
        <v>30</v>
      </c>
    </row>
    <row r="107" spans="2:18" ht="19.5" customHeight="1" hidden="1">
      <c r="B107" s="3" t="s">
        <v>127</v>
      </c>
      <c r="D107" s="4">
        <v>433</v>
      </c>
      <c r="F107" s="8" t="s">
        <v>30</v>
      </c>
      <c r="G107" s="8"/>
      <c r="H107" s="8" t="s">
        <v>30</v>
      </c>
      <c r="L107" s="3" t="s">
        <v>104</v>
      </c>
      <c r="N107" s="4">
        <v>333</v>
      </c>
      <c r="P107" s="8">
        <v>200000000</v>
      </c>
      <c r="Q107" s="8"/>
      <c r="R107" s="8" t="s">
        <v>30</v>
      </c>
    </row>
    <row r="108" spans="1:18" ht="27.75" customHeight="1" thickBot="1">
      <c r="A108" s="2" t="s">
        <v>128</v>
      </c>
      <c r="B108" s="2"/>
      <c r="C108" s="2"/>
      <c r="D108" s="10">
        <v>440</v>
      </c>
      <c r="E108" s="10"/>
      <c r="F108" s="31">
        <f>F71+F91</f>
        <v>244654922129</v>
      </c>
      <c r="G108" s="15"/>
      <c r="H108" s="31">
        <f>H71+H91</f>
        <v>144059511693</v>
      </c>
      <c r="I108" s="23">
        <f>F108-F62</f>
        <v>0.20001220703125</v>
      </c>
      <c r="J108" s="23">
        <f>H108-H62</f>
        <v>0</v>
      </c>
      <c r="L108" s="3" t="s">
        <v>105</v>
      </c>
      <c r="N108" s="4">
        <v>334</v>
      </c>
      <c r="P108" s="8">
        <f>47019096100+450283000</f>
        <v>47469379100</v>
      </c>
      <c r="Q108" s="8"/>
      <c r="R108" s="8">
        <v>632000000</v>
      </c>
    </row>
    <row r="109" spans="6:18" ht="6" customHeight="1" thickTop="1">
      <c r="F109" s="8" t="s">
        <v>0</v>
      </c>
      <c r="G109" s="33"/>
      <c r="H109" s="8" t="s">
        <v>0</v>
      </c>
      <c r="I109" s="21"/>
      <c r="L109" s="3" t="s">
        <v>107</v>
      </c>
      <c r="N109" s="4">
        <v>335</v>
      </c>
      <c r="P109" s="8" t="s">
        <v>30</v>
      </c>
      <c r="Q109" s="8"/>
      <c r="R109" s="8" t="s">
        <v>30</v>
      </c>
    </row>
    <row r="110" spans="1:18" ht="19.5" customHeight="1">
      <c r="A110" s="2" t="s">
        <v>129</v>
      </c>
      <c r="F110" s="8"/>
      <c r="G110" s="8"/>
      <c r="H110" s="8"/>
      <c r="I110" s="21"/>
      <c r="L110" s="3" t="s">
        <v>108</v>
      </c>
      <c r="N110" s="4">
        <v>336</v>
      </c>
      <c r="P110" s="8" t="s">
        <v>30</v>
      </c>
      <c r="Q110" s="8"/>
      <c r="R110" s="8" t="s">
        <v>30</v>
      </c>
    </row>
    <row r="111" spans="1:18" ht="6" customHeight="1">
      <c r="A111" s="2"/>
      <c r="F111" s="8"/>
      <c r="G111" s="8"/>
      <c r="H111" s="8"/>
      <c r="I111" s="21"/>
      <c r="L111" s="3" t="s">
        <v>109</v>
      </c>
      <c r="N111" s="4">
        <v>337</v>
      </c>
      <c r="P111" s="8" t="s">
        <v>30</v>
      </c>
      <c r="Q111" s="8"/>
      <c r="R111" s="8" t="s">
        <v>30</v>
      </c>
    </row>
    <row r="112" spans="1:18" ht="36" customHeight="1">
      <c r="A112" s="2" t="s">
        <v>1</v>
      </c>
      <c r="D112" s="13"/>
      <c r="E112" s="13" t="s">
        <v>22</v>
      </c>
      <c r="F112" s="14" t="s">
        <v>23</v>
      </c>
      <c r="G112" s="11"/>
      <c r="H112" s="14">
        <v>39448</v>
      </c>
      <c r="I112" s="21"/>
      <c r="P112" s="8"/>
      <c r="Q112" s="8"/>
      <c r="R112" s="8"/>
    </row>
    <row r="113" spans="2:18" ht="19.5" customHeight="1">
      <c r="B113" s="3" t="s">
        <v>130</v>
      </c>
      <c r="F113" s="34">
        <f>F114</f>
        <v>104424.6</v>
      </c>
      <c r="G113" s="33"/>
      <c r="H113" s="34">
        <f>H114</f>
        <v>32446.13</v>
      </c>
      <c r="I113" s="21"/>
      <c r="K113" s="2" t="s">
        <v>110</v>
      </c>
      <c r="L113" s="2"/>
      <c r="M113" s="2"/>
      <c r="N113" s="10">
        <v>400</v>
      </c>
      <c r="O113" s="10"/>
      <c r="P113" s="15">
        <f>P115+P134</f>
        <v>147713159611</v>
      </c>
      <c r="Q113" s="15"/>
      <c r="R113" s="15">
        <f>R115+R134</f>
        <v>106173285834</v>
      </c>
    </row>
    <row r="114" spans="3:18" s="24" customFormat="1" ht="19.5" customHeight="1">
      <c r="C114" s="24" t="s">
        <v>131</v>
      </c>
      <c r="D114" s="26"/>
      <c r="E114" s="26"/>
      <c r="F114" s="35">
        <f>516.97+P150</f>
        <v>104424.6</v>
      </c>
      <c r="G114" s="36"/>
      <c r="H114" s="35">
        <f>440.61+R150</f>
        <v>32446.13</v>
      </c>
      <c r="I114" s="37"/>
      <c r="K114" s="2"/>
      <c r="L114" s="2"/>
      <c r="M114" s="2"/>
      <c r="N114" s="10"/>
      <c r="O114" s="10"/>
      <c r="P114" s="15"/>
      <c r="Q114" s="15"/>
      <c r="R114" s="15"/>
    </row>
    <row r="115" spans="6:18" ht="7.5" customHeight="1">
      <c r="F115" s="8"/>
      <c r="G115" s="33"/>
      <c r="H115" s="8"/>
      <c r="I115" s="21"/>
      <c r="K115" s="2"/>
      <c r="L115" s="2" t="s">
        <v>111</v>
      </c>
      <c r="M115" s="2"/>
      <c r="N115" s="10">
        <v>410</v>
      </c>
      <c r="O115" s="10"/>
      <c r="P115" s="15">
        <f>SUM(P116:P124)</f>
        <v>147861362111</v>
      </c>
      <c r="Q115" s="15"/>
      <c r="R115" s="15">
        <f>SUM(R116:R124)</f>
        <v>106334795834</v>
      </c>
    </row>
    <row r="116" spans="5:18" ht="19.5" customHeight="1">
      <c r="E116" s="123" t="str">
        <f>'[1]BCTGD'!E47</f>
        <v>Ngaøy 12 thaùng 01 naêm 2009</v>
      </c>
      <c r="F116" s="123"/>
      <c r="G116" s="123"/>
      <c r="H116" s="123"/>
      <c r="L116" s="3" t="s">
        <v>113</v>
      </c>
      <c r="N116" s="4">
        <v>411</v>
      </c>
      <c r="P116" s="8">
        <v>84703500000</v>
      </c>
      <c r="Q116" s="8"/>
      <c r="R116" s="8">
        <v>54483550000</v>
      </c>
    </row>
    <row r="117" spans="3:18" ht="19.5" customHeight="1">
      <c r="C117" s="10" t="s">
        <v>132</v>
      </c>
      <c r="E117" s="122" t="s">
        <v>133</v>
      </c>
      <c r="F117" s="122"/>
      <c r="G117" s="122"/>
      <c r="H117" s="122"/>
      <c r="L117" s="3" t="s">
        <v>114</v>
      </c>
      <c r="N117" s="4">
        <v>412</v>
      </c>
      <c r="P117" s="8">
        <v>58558245765</v>
      </c>
      <c r="Q117" s="8"/>
      <c r="R117" s="8">
        <v>42096692432</v>
      </c>
    </row>
    <row r="118" spans="6:18" ht="19.5" customHeight="1">
      <c r="F118" s="8"/>
      <c r="G118" s="8"/>
      <c r="H118" s="8"/>
      <c r="L118" s="3" t="s">
        <v>115</v>
      </c>
      <c r="N118" s="4">
        <v>413</v>
      </c>
      <c r="P118" s="8" t="s">
        <v>30</v>
      </c>
      <c r="Q118" s="8"/>
      <c r="R118" s="8" t="s">
        <v>30</v>
      </c>
    </row>
    <row r="119" spans="6:18" ht="19.5" customHeight="1">
      <c r="F119" s="8"/>
      <c r="G119" s="8"/>
      <c r="H119" s="8"/>
      <c r="L119" s="3" t="s">
        <v>116</v>
      </c>
      <c r="N119" s="4">
        <v>414</v>
      </c>
      <c r="P119" s="8">
        <v>-8352000</v>
      </c>
      <c r="Q119" s="8"/>
      <c r="R119" s="8">
        <v>-8352000</v>
      </c>
    </row>
    <row r="120" spans="3:18" ht="19.5" customHeight="1">
      <c r="C120" s="10" t="s">
        <v>134</v>
      </c>
      <c r="E120" s="122" t="s">
        <v>135</v>
      </c>
      <c r="F120" s="122"/>
      <c r="G120" s="122"/>
      <c r="H120" s="122"/>
      <c r="L120" s="3" t="s">
        <v>119</v>
      </c>
      <c r="N120" s="4">
        <v>417</v>
      </c>
      <c r="P120" s="8">
        <v>5487848558</v>
      </c>
      <c r="Q120" s="8"/>
      <c r="R120" s="8">
        <v>5287848558</v>
      </c>
    </row>
    <row r="121" spans="3:18" ht="19.5" customHeight="1">
      <c r="C121" s="2"/>
      <c r="G121" s="8"/>
      <c r="H121" s="8"/>
      <c r="L121" s="3" t="s">
        <v>120</v>
      </c>
      <c r="N121" s="4">
        <v>418</v>
      </c>
      <c r="P121" s="8">
        <v>2045000000</v>
      </c>
      <c r="Q121" s="8"/>
      <c r="R121" s="8">
        <v>1695000000</v>
      </c>
    </row>
    <row r="122" spans="7:18" ht="19.5" customHeight="1">
      <c r="G122" s="8"/>
      <c r="H122" s="8"/>
      <c r="L122" s="3" t="s">
        <v>121</v>
      </c>
      <c r="N122" s="4">
        <v>419</v>
      </c>
      <c r="P122" s="8" t="s">
        <v>30</v>
      </c>
      <c r="Q122" s="8"/>
      <c r="R122" s="8" t="s">
        <v>30</v>
      </c>
    </row>
    <row r="123" spans="6:18" ht="19.5" customHeight="1">
      <c r="F123" s="8"/>
      <c r="G123" s="8"/>
      <c r="H123" s="8"/>
      <c r="L123" s="3" t="s">
        <v>122</v>
      </c>
      <c r="N123" s="4">
        <v>420</v>
      </c>
      <c r="P123" s="8">
        <f>-2762735064-201850787+39705639</f>
        <v>-2924880212</v>
      </c>
      <c r="Q123" s="8"/>
      <c r="R123" s="8">
        <v>2780056844</v>
      </c>
    </row>
    <row r="124" spans="6:18" ht="19.5" customHeight="1">
      <c r="F124" s="8"/>
      <c r="G124" s="8"/>
      <c r="H124" s="8"/>
      <c r="L124" s="3" t="s">
        <v>123</v>
      </c>
      <c r="N124" s="4">
        <v>421</v>
      </c>
      <c r="P124" s="8" t="s">
        <v>30</v>
      </c>
      <c r="Q124" s="8"/>
      <c r="R124" s="8" t="s">
        <v>30</v>
      </c>
    </row>
    <row r="125" spans="6:18" ht="19.5" customHeight="1">
      <c r="F125" s="8"/>
      <c r="G125" s="8"/>
      <c r="H125" s="8"/>
      <c r="P125" s="8"/>
      <c r="Q125" s="8"/>
      <c r="R125" s="8"/>
    </row>
    <row r="126" spans="6:11" ht="19.5" customHeight="1">
      <c r="F126" s="8"/>
      <c r="G126" s="8"/>
      <c r="H126" s="8"/>
      <c r="K126" s="2" t="s">
        <v>16</v>
      </c>
    </row>
    <row r="127" spans="6:11" ht="19.5" customHeight="1">
      <c r="F127" s="8"/>
      <c r="G127" s="8"/>
      <c r="H127" s="8"/>
      <c r="K127" s="2"/>
    </row>
    <row r="128" spans="6:18" ht="19.5" customHeight="1">
      <c r="F128" s="8"/>
      <c r="G128" s="8"/>
      <c r="H128" s="8"/>
      <c r="K128" s="5" t="s">
        <v>71</v>
      </c>
      <c r="L128" s="6"/>
      <c r="M128" s="6"/>
      <c r="N128" s="7"/>
      <c r="O128" s="7"/>
      <c r="P128" s="6"/>
      <c r="Q128" s="8"/>
      <c r="R128" s="9"/>
    </row>
    <row r="129" spans="6:18" ht="19.5" customHeight="1">
      <c r="F129" s="8"/>
      <c r="G129" s="8"/>
      <c r="H129" s="8"/>
      <c r="K129" s="2" t="s">
        <v>18</v>
      </c>
      <c r="L129" s="2"/>
      <c r="M129" s="2"/>
      <c r="N129" s="10"/>
      <c r="O129" s="10"/>
      <c r="P129" s="2"/>
      <c r="Q129" s="2"/>
      <c r="R129" s="11"/>
    </row>
    <row r="130" spans="6:18" ht="19.5" customHeight="1">
      <c r="F130" s="8"/>
      <c r="G130" s="8"/>
      <c r="H130" s="8"/>
      <c r="K130" s="2"/>
      <c r="L130" s="2"/>
      <c r="M130" s="2"/>
      <c r="N130" s="10"/>
      <c r="O130" s="10"/>
      <c r="P130" s="2"/>
      <c r="Q130" s="2"/>
      <c r="R130" s="11"/>
    </row>
    <row r="131" spans="6:18" ht="19.5" customHeight="1">
      <c r="F131" s="8"/>
      <c r="G131" s="8"/>
      <c r="H131" s="8"/>
      <c r="R131" s="12" t="s">
        <v>19</v>
      </c>
    </row>
    <row r="132" spans="6:18" ht="19.5" customHeight="1">
      <c r="F132" s="8"/>
      <c r="G132" s="8"/>
      <c r="H132" s="8"/>
      <c r="K132" s="2" t="s">
        <v>85</v>
      </c>
      <c r="N132" s="13" t="s">
        <v>21</v>
      </c>
      <c r="O132" s="13" t="s">
        <v>22</v>
      </c>
      <c r="P132" s="14" t="s">
        <v>23</v>
      </c>
      <c r="Q132" s="11"/>
      <c r="R132" s="14" t="s">
        <v>24</v>
      </c>
    </row>
    <row r="133" spans="6:18" ht="19.5" customHeight="1">
      <c r="F133" s="8"/>
      <c r="G133" s="8"/>
      <c r="H133" s="8"/>
      <c r="P133" s="8"/>
      <c r="Q133" s="8"/>
      <c r="R133" s="8"/>
    </row>
    <row r="134" spans="6:18" ht="19.5" customHeight="1">
      <c r="F134" s="8"/>
      <c r="G134" s="8"/>
      <c r="H134" s="8"/>
      <c r="K134" s="2"/>
      <c r="L134" s="2" t="s">
        <v>124</v>
      </c>
      <c r="M134" s="2"/>
      <c r="N134" s="10">
        <v>430</v>
      </c>
      <c r="O134" s="10"/>
      <c r="P134" s="15">
        <f>SUM(P135:P137)</f>
        <v>-148202500</v>
      </c>
      <c r="Q134" s="15"/>
      <c r="R134" s="15">
        <f>SUM(R135:R137)</f>
        <v>-161510000</v>
      </c>
    </row>
    <row r="135" spans="6:18" ht="19.5" customHeight="1">
      <c r="F135" s="8"/>
      <c r="G135" s="8"/>
      <c r="H135" s="8"/>
      <c r="L135" s="3" t="s">
        <v>125</v>
      </c>
      <c r="N135" s="4">
        <v>431</v>
      </c>
      <c r="P135" s="8">
        <v>-148202500</v>
      </c>
      <c r="Q135" s="8"/>
      <c r="R135" s="8">
        <v>-161510000</v>
      </c>
    </row>
    <row r="136" spans="6:18" ht="19.5" customHeight="1">
      <c r="F136" s="8"/>
      <c r="G136" s="8"/>
      <c r="H136" s="8"/>
      <c r="L136" s="3" t="s">
        <v>126</v>
      </c>
      <c r="N136" s="4">
        <v>432</v>
      </c>
      <c r="P136" s="8" t="s">
        <v>30</v>
      </c>
      <c r="Q136" s="8"/>
      <c r="R136" s="8" t="s">
        <v>30</v>
      </c>
    </row>
    <row r="137" spans="6:18" ht="19.5" customHeight="1">
      <c r="F137" s="8"/>
      <c r="G137" s="8"/>
      <c r="H137" s="8"/>
      <c r="L137" s="3" t="s">
        <v>127</v>
      </c>
      <c r="N137" s="4">
        <v>433</v>
      </c>
      <c r="P137" s="8" t="s">
        <v>30</v>
      </c>
      <c r="Q137" s="8"/>
      <c r="R137" s="8" t="s">
        <v>30</v>
      </c>
    </row>
    <row r="138" spans="6:18" ht="19.5" customHeight="1">
      <c r="F138" s="8"/>
      <c r="G138" s="8"/>
      <c r="H138" s="8"/>
      <c r="P138" s="8"/>
      <c r="Q138" s="8"/>
      <c r="R138" s="8"/>
    </row>
    <row r="139" spans="6:18" ht="19.5" customHeight="1" thickBot="1">
      <c r="F139" s="8"/>
      <c r="G139" s="8"/>
      <c r="H139" s="8"/>
      <c r="K139" s="2" t="s">
        <v>128</v>
      </c>
      <c r="L139" s="2"/>
      <c r="M139" s="2"/>
      <c r="N139" s="10">
        <v>440</v>
      </c>
      <c r="O139" s="10"/>
      <c r="P139" s="31">
        <f>P90+P113</f>
        <v>234686029436</v>
      </c>
      <c r="Q139" s="15"/>
      <c r="R139" s="31">
        <f>R90+R113</f>
        <v>117901144389</v>
      </c>
    </row>
    <row r="140" spans="6:18" ht="19.5" customHeight="1" thickTop="1">
      <c r="F140" s="8"/>
      <c r="G140" s="8"/>
      <c r="H140" s="8"/>
      <c r="P140" s="8" t="s">
        <v>0</v>
      </c>
      <c r="Q140" s="33"/>
      <c r="R140" s="8" t="s">
        <v>0</v>
      </c>
    </row>
    <row r="141" spans="6:18" ht="19.5" customHeight="1">
      <c r="F141" s="8"/>
      <c r="G141" s="8"/>
      <c r="H141" s="8"/>
      <c r="P141" s="8"/>
      <c r="Q141" s="33"/>
      <c r="R141" s="8"/>
    </row>
    <row r="142" spans="6:18" ht="19.5" customHeight="1">
      <c r="F142" s="8"/>
      <c r="G142" s="8"/>
      <c r="H142" s="8"/>
      <c r="K142" s="2" t="s">
        <v>129</v>
      </c>
      <c r="P142" s="8"/>
      <c r="Q142" s="8"/>
      <c r="R142" s="8"/>
    </row>
    <row r="143" spans="6:18" ht="19.5" customHeight="1">
      <c r="F143" s="8"/>
      <c r="G143" s="8"/>
      <c r="H143" s="8"/>
      <c r="K143" s="2"/>
      <c r="P143" s="8"/>
      <c r="Q143" s="8"/>
      <c r="R143" s="8"/>
    </row>
    <row r="144" spans="11:18" ht="19.5" customHeight="1">
      <c r="K144" s="2" t="s">
        <v>1</v>
      </c>
      <c r="N144" s="13"/>
      <c r="O144" s="13" t="s">
        <v>22</v>
      </c>
      <c r="P144" s="14" t="s">
        <v>23</v>
      </c>
      <c r="Q144" s="11"/>
      <c r="R144" s="14">
        <v>39448</v>
      </c>
    </row>
    <row r="145" spans="12:18" ht="19.5" customHeight="1">
      <c r="L145" s="3" t="s">
        <v>136</v>
      </c>
      <c r="P145" s="38" t="s">
        <v>30</v>
      </c>
      <c r="Q145" s="38"/>
      <c r="R145" s="38" t="s">
        <v>30</v>
      </c>
    </row>
    <row r="146" spans="12:18" ht="19.5" customHeight="1">
      <c r="L146" s="3" t="s">
        <v>137</v>
      </c>
      <c r="P146" s="8" t="s">
        <v>30</v>
      </c>
      <c r="Q146" s="38"/>
      <c r="R146" s="8" t="s">
        <v>30</v>
      </c>
    </row>
    <row r="147" spans="12:18" ht="19.5" customHeight="1">
      <c r="L147" s="3" t="s">
        <v>138</v>
      </c>
      <c r="P147" s="38" t="s">
        <v>30</v>
      </c>
      <c r="Q147" s="38"/>
      <c r="R147" s="38" t="s">
        <v>30</v>
      </c>
    </row>
    <row r="148" spans="12:18" ht="19.5" customHeight="1">
      <c r="L148" s="3" t="s">
        <v>139</v>
      </c>
      <c r="P148" s="38" t="s">
        <v>30</v>
      </c>
      <c r="Q148" s="38"/>
      <c r="R148" s="38" t="s">
        <v>30</v>
      </c>
    </row>
    <row r="149" spans="12:18" ht="19.5" customHeight="1">
      <c r="L149" s="3" t="s">
        <v>130</v>
      </c>
      <c r="P149" s="38" t="s">
        <v>30</v>
      </c>
      <c r="Q149" s="38"/>
      <c r="R149" s="38" t="s">
        <v>30</v>
      </c>
    </row>
    <row r="150" spans="13:18" ht="19.5" customHeight="1">
      <c r="M150" s="3" t="s">
        <v>131</v>
      </c>
      <c r="P150" s="38">
        <v>103907.63</v>
      </c>
      <c r="Q150" s="38"/>
      <c r="R150" s="38">
        <v>32005.52</v>
      </c>
    </row>
    <row r="151" spans="13:18" ht="19.5" customHeight="1">
      <c r="M151" s="3" t="s">
        <v>140</v>
      </c>
      <c r="P151" s="38" t="s">
        <v>30</v>
      </c>
      <c r="Q151" s="38"/>
      <c r="R151" s="38" t="s">
        <v>30</v>
      </c>
    </row>
    <row r="152" spans="12:18" ht="19.5" customHeight="1">
      <c r="L152" s="3" t="s">
        <v>141</v>
      </c>
      <c r="P152" s="38" t="s">
        <v>30</v>
      </c>
      <c r="Q152" s="38"/>
      <c r="R152" s="38" t="s">
        <v>30</v>
      </c>
    </row>
    <row r="153" spans="16:18" ht="19.5" customHeight="1">
      <c r="P153" s="8"/>
      <c r="Q153" s="8"/>
      <c r="R153" s="8"/>
    </row>
    <row r="154" spans="15:18" ht="19.5" customHeight="1">
      <c r="O154" s="123" t="s">
        <v>142</v>
      </c>
      <c r="P154" s="123"/>
      <c r="Q154" s="123"/>
      <c r="R154" s="123"/>
    </row>
    <row r="155" spans="13:18" ht="19.5" customHeight="1">
      <c r="M155" s="10" t="s">
        <v>132</v>
      </c>
      <c r="O155" s="122" t="s">
        <v>143</v>
      </c>
      <c r="P155" s="122"/>
      <c r="Q155" s="122"/>
      <c r="R155" s="122"/>
    </row>
    <row r="156" spans="16:18" ht="19.5" customHeight="1">
      <c r="P156" s="8"/>
      <c r="Q156" s="8"/>
      <c r="R156" s="8"/>
    </row>
    <row r="157" spans="16:18" ht="19.5" customHeight="1">
      <c r="P157" s="8"/>
      <c r="Q157" s="8"/>
      <c r="R157" s="8"/>
    </row>
    <row r="158" spans="16:18" ht="19.5" customHeight="1">
      <c r="P158" s="8"/>
      <c r="Q158" s="8"/>
      <c r="R158" s="8"/>
    </row>
    <row r="159" spans="16:18" ht="19.5" customHeight="1">
      <c r="P159" s="8"/>
      <c r="Q159" s="8"/>
      <c r="R159" s="8"/>
    </row>
    <row r="160" spans="13:18" ht="19.5" customHeight="1">
      <c r="M160" s="10" t="s">
        <v>134</v>
      </c>
      <c r="O160" s="122" t="s">
        <v>144</v>
      </c>
      <c r="P160" s="122"/>
      <c r="Q160" s="122"/>
      <c r="R160" s="122"/>
    </row>
    <row r="161" spans="13:18" ht="19.5" customHeight="1">
      <c r="M161" s="2"/>
      <c r="Q161" s="8"/>
      <c r="R161" s="8"/>
    </row>
    <row r="162" spans="17:18" ht="19.5" customHeight="1">
      <c r="Q162" s="8"/>
      <c r="R162" s="8"/>
    </row>
    <row r="163" spans="16:18" ht="19.5" customHeight="1">
      <c r="P163" s="8"/>
      <c r="Q163" s="8"/>
      <c r="R163" s="8"/>
    </row>
    <row r="164" spans="16:18" ht="19.5" customHeight="1">
      <c r="P164" s="8"/>
      <c r="Q164" s="8"/>
      <c r="R164" s="8"/>
    </row>
    <row r="165" spans="16:18" ht="19.5" customHeight="1">
      <c r="P165" s="8"/>
      <c r="Q165" s="8"/>
      <c r="R165" s="8"/>
    </row>
    <row r="166" spans="16:18" ht="19.5" customHeight="1">
      <c r="P166" s="8"/>
      <c r="Q166" s="8"/>
      <c r="R166" s="8"/>
    </row>
    <row r="167" spans="16:18" ht="19.5" customHeight="1">
      <c r="P167" s="8"/>
      <c r="Q167" s="8"/>
      <c r="R167" s="8"/>
    </row>
    <row r="168" spans="16:18" ht="19.5" customHeight="1">
      <c r="P168" s="8"/>
      <c r="Q168" s="8"/>
      <c r="R168" s="8"/>
    </row>
    <row r="169" spans="16:18" ht="19.5" customHeight="1">
      <c r="P169" s="8"/>
      <c r="Q169" s="8"/>
      <c r="R169" s="8"/>
    </row>
    <row r="170" spans="16:18" ht="19.5" customHeight="1">
      <c r="P170" s="8"/>
      <c r="Q170" s="8"/>
      <c r="R170" s="8"/>
    </row>
    <row r="171" spans="16:18" ht="19.5" customHeight="1">
      <c r="P171" s="8"/>
      <c r="Q171" s="8"/>
      <c r="R171" s="8"/>
    </row>
    <row r="172" spans="16:18" ht="19.5" customHeight="1">
      <c r="P172" s="8"/>
      <c r="Q172" s="8"/>
      <c r="R172" s="8"/>
    </row>
    <row r="173" spans="16:18" ht="19.5" customHeight="1">
      <c r="P173" s="8"/>
      <c r="Q173" s="8"/>
      <c r="R173" s="8"/>
    </row>
    <row r="174" spans="16:18" ht="19.5" customHeight="1">
      <c r="P174" s="8"/>
      <c r="Q174" s="8"/>
      <c r="R174" s="8"/>
    </row>
    <row r="175" spans="16:18" ht="19.5" customHeight="1">
      <c r="P175" s="8"/>
      <c r="Q175" s="8"/>
      <c r="R175" s="8"/>
    </row>
    <row r="176" spans="16:18" ht="19.5" customHeight="1">
      <c r="P176" s="8"/>
      <c r="Q176" s="8"/>
      <c r="R176" s="8"/>
    </row>
    <row r="177" spans="16:18" ht="19.5" customHeight="1">
      <c r="P177" s="8"/>
      <c r="Q177" s="8"/>
      <c r="R177" s="8"/>
    </row>
    <row r="178" spans="16:18" ht="19.5" customHeight="1">
      <c r="P178" s="8"/>
      <c r="Q178" s="8"/>
      <c r="R178" s="8"/>
    </row>
    <row r="179" spans="16:18" ht="19.5" customHeight="1">
      <c r="P179" s="8"/>
      <c r="Q179" s="8"/>
      <c r="R179" s="8"/>
    </row>
    <row r="180" spans="16:18" ht="19.5" customHeight="1">
      <c r="P180" s="8"/>
      <c r="Q180" s="8"/>
      <c r="R180" s="8"/>
    </row>
    <row r="181" spans="16:18" ht="19.5" customHeight="1">
      <c r="P181" s="8"/>
      <c r="Q181" s="8"/>
      <c r="R181" s="8"/>
    </row>
    <row r="182" spans="16:18" ht="19.5" customHeight="1">
      <c r="P182" s="8"/>
      <c r="Q182" s="8"/>
      <c r="R182" s="8"/>
    </row>
    <row r="183" spans="16:18" ht="19.5" customHeight="1">
      <c r="P183" s="8"/>
      <c r="Q183" s="8"/>
      <c r="R183" s="8"/>
    </row>
  </sheetData>
  <mergeCells count="6">
    <mergeCell ref="O155:R155"/>
    <mergeCell ref="O160:R160"/>
    <mergeCell ref="E116:H116"/>
    <mergeCell ref="E117:H117"/>
    <mergeCell ref="E120:H120"/>
    <mergeCell ref="O154:R1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A20">
      <selection activeCell="I19" sqref="I19"/>
    </sheetView>
  </sheetViews>
  <sheetFormatPr defaultColWidth="9.00390625" defaultRowHeight="19.5" customHeight="1"/>
  <cols>
    <col min="1" max="1" width="4.00390625" style="39" customWidth="1"/>
    <col min="2" max="2" width="2.125" style="39" customWidth="1"/>
    <col min="3" max="3" width="36.625" style="39" customWidth="1"/>
    <col min="4" max="4" width="7.875" style="40" customWidth="1"/>
    <col min="5" max="5" width="8.25390625" style="40" customWidth="1"/>
    <col min="6" max="6" width="17.625" style="39" customWidth="1"/>
    <col min="7" max="7" width="1.75390625" style="39" customWidth="1"/>
    <col min="8" max="8" width="17.625" style="39" customWidth="1"/>
    <col min="9" max="9" width="9.125" style="39" customWidth="1"/>
    <col min="10" max="10" width="17.375" style="39" hidden="1" customWidth="1"/>
    <col min="11" max="11" width="7.875" style="40" hidden="1" customWidth="1"/>
    <col min="12" max="12" width="8.25390625" style="40" hidden="1" customWidth="1"/>
    <col min="13" max="13" width="17.625" style="39" hidden="1" customWidth="1"/>
    <col min="14" max="14" width="1.75390625" style="39" hidden="1" customWidth="1"/>
    <col min="15" max="15" width="17.625" style="39" hidden="1" customWidth="1"/>
    <col min="16" max="16" width="0" style="39" hidden="1" customWidth="1"/>
    <col min="17" max="17" width="14.375" style="39" customWidth="1"/>
    <col min="18" max="16384" width="9.125" style="39" customWidth="1"/>
  </cols>
  <sheetData>
    <row r="1" ht="18" customHeight="1">
      <c r="A1" s="2" t="s">
        <v>15</v>
      </c>
    </row>
    <row r="2" ht="18" customHeight="1">
      <c r="A2" s="41"/>
    </row>
    <row r="3" spans="1:15" s="43" customFormat="1" ht="18" customHeight="1">
      <c r="A3" s="42" t="s">
        <v>145</v>
      </c>
      <c r="D3" s="44"/>
      <c r="E3" s="44"/>
      <c r="G3" s="45"/>
      <c r="H3" s="46"/>
      <c r="K3" s="47"/>
      <c r="L3" s="47"/>
      <c r="M3" s="48"/>
      <c r="N3" s="49"/>
      <c r="O3" s="50"/>
    </row>
    <row r="4" spans="1:15" s="41" customFormat="1" ht="18" customHeight="1">
      <c r="A4" s="41" t="s">
        <v>146</v>
      </c>
      <c r="D4" s="51"/>
      <c r="E4" s="51"/>
      <c r="H4" s="52"/>
      <c r="K4" s="51"/>
      <c r="L4" s="51"/>
      <c r="O4" s="52"/>
    </row>
    <row r="5" ht="18" customHeight="1"/>
    <row r="6" spans="8:15" ht="18" customHeight="1">
      <c r="H6" s="12" t="s">
        <v>19</v>
      </c>
      <c r="O6" s="12" t="s">
        <v>19</v>
      </c>
    </row>
    <row r="7" spans="1:15" ht="33" customHeight="1">
      <c r="A7" s="41" t="s">
        <v>1</v>
      </c>
      <c r="D7" s="53" t="s">
        <v>21</v>
      </c>
      <c r="E7" s="53" t="s">
        <v>22</v>
      </c>
      <c r="F7" s="54" t="s">
        <v>147</v>
      </c>
      <c r="G7" s="41"/>
      <c r="H7" s="54" t="s">
        <v>13</v>
      </c>
      <c r="K7" s="53" t="s">
        <v>21</v>
      </c>
      <c r="L7" s="53" t="s">
        <v>22</v>
      </c>
      <c r="M7" s="54" t="s">
        <v>147</v>
      </c>
      <c r="N7" s="41"/>
      <c r="O7" s="54" t="s">
        <v>13</v>
      </c>
    </row>
    <row r="8" spans="1:15" s="41" customFormat="1" ht="30" customHeight="1">
      <c r="A8" s="55">
        <v>1</v>
      </c>
      <c r="B8" s="41" t="s">
        <v>2</v>
      </c>
      <c r="D8" s="56">
        <v>1</v>
      </c>
      <c r="E8" s="40" t="s">
        <v>148</v>
      </c>
      <c r="F8" s="57">
        <f>40226474083+67189837246+444415364+65059391+9451445+61777350+M9</f>
        <v>183434568698</v>
      </c>
      <c r="G8" s="57"/>
      <c r="H8" s="57">
        <f>105479657645+O9</f>
        <v>173437983922</v>
      </c>
      <c r="K8" s="51"/>
      <c r="L8" s="51"/>
      <c r="M8" s="58"/>
      <c r="N8" s="59"/>
      <c r="O8" s="59"/>
    </row>
    <row r="9" spans="1:15" ht="16.5" customHeight="1">
      <c r="A9" s="60">
        <v>2</v>
      </c>
      <c r="B9" s="39" t="s">
        <v>3</v>
      </c>
      <c r="D9" s="61">
        <v>2</v>
      </c>
      <c r="E9" s="40" t="s">
        <v>148</v>
      </c>
      <c r="F9" s="62">
        <f>563767200+M11</f>
        <v>2911810757</v>
      </c>
      <c r="G9" s="63"/>
      <c r="H9" s="62">
        <f>96991776+O11</f>
        <v>533558368</v>
      </c>
      <c r="K9" s="56">
        <v>1</v>
      </c>
      <c r="L9" s="51"/>
      <c r="M9" s="59">
        <v>75437553819</v>
      </c>
      <c r="N9" s="59"/>
      <c r="O9" s="59">
        <v>67958326277</v>
      </c>
    </row>
    <row r="10" spans="1:15" s="41" customFormat="1" ht="30" customHeight="1">
      <c r="A10" s="55">
        <v>3</v>
      </c>
      <c r="B10" s="41" t="s">
        <v>11</v>
      </c>
      <c r="D10" s="51">
        <v>10</v>
      </c>
      <c r="E10" s="40" t="s">
        <v>148</v>
      </c>
      <c r="F10" s="64">
        <f>F8-F9</f>
        <v>180522757941</v>
      </c>
      <c r="G10" s="59"/>
      <c r="H10" s="64">
        <f>H8-H9</f>
        <v>172904425554</v>
      </c>
      <c r="K10" s="56"/>
      <c r="L10" s="51"/>
      <c r="M10" s="59"/>
      <c r="N10" s="59"/>
      <c r="O10" s="59"/>
    </row>
    <row r="11" spans="1:15" ht="30" customHeight="1">
      <c r="A11" s="60">
        <v>4</v>
      </c>
      <c r="B11" s="39" t="s">
        <v>149</v>
      </c>
      <c r="D11" s="40">
        <v>11</v>
      </c>
      <c r="E11" s="40" t="s">
        <v>150</v>
      </c>
      <c r="F11" s="65">
        <f>90561161842+6750000+126768357+M13</f>
        <v>155509481624</v>
      </c>
      <c r="G11" s="66"/>
      <c r="H11" s="65">
        <f>92313125639+31047979+O13</f>
        <v>153313375225</v>
      </c>
      <c r="K11" s="61">
        <v>2</v>
      </c>
      <c r="M11" s="45">
        <v>2348043557</v>
      </c>
      <c r="N11" s="45"/>
      <c r="O11" s="45">
        <v>436566592</v>
      </c>
    </row>
    <row r="12" spans="1:15" s="41" customFormat="1" ht="30" customHeight="1">
      <c r="A12" s="55">
        <v>5</v>
      </c>
      <c r="B12" s="41" t="s">
        <v>12</v>
      </c>
      <c r="D12" s="51">
        <v>20</v>
      </c>
      <c r="E12" s="40"/>
      <c r="F12" s="64">
        <f>F10-F11</f>
        <v>25013276317</v>
      </c>
      <c r="G12" s="59"/>
      <c r="H12" s="64">
        <f>H10-H11</f>
        <v>19591050329</v>
      </c>
      <c r="K12" s="51">
        <v>10</v>
      </c>
      <c r="L12" s="51"/>
      <c r="M12" s="64">
        <f>M9-M11</f>
        <v>73089510262</v>
      </c>
      <c r="N12" s="59"/>
      <c r="O12" s="64">
        <f>O9-O11</f>
        <v>67521759685</v>
      </c>
    </row>
    <row r="13" spans="1:15" s="41" customFormat="1" ht="16.5" customHeight="1">
      <c r="A13" s="55"/>
      <c r="D13" s="51"/>
      <c r="E13" s="40"/>
      <c r="F13" s="59"/>
      <c r="G13" s="59"/>
      <c r="H13" s="59"/>
      <c r="K13" s="40">
        <v>11</v>
      </c>
      <c r="L13" s="40"/>
      <c r="M13" s="45">
        <v>64814801425</v>
      </c>
      <c r="N13" s="45"/>
      <c r="O13" s="45">
        <v>60969201607</v>
      </c>
    </row>
    <row r="14" spans="1:15" ht="16.5" customHeight="1">
      <c r="A14" s="60">
        <v>6</v>
      </c>
      <c r="B14" s="39" t="s">
        <v>4</v>
      </c>
      <c r="D14" s="40">
        <v>21</v>
      </c>
      <c r="E14" s="40" t="s">
        <v>151</v>
      </c>
      <c r="F14" s="67">
        <f>410311208+6230593+'[1]BTDC'!G9+M16</f>
        <v>2301683644</v>
      </c>
      <c r="G14" s="67"/>
      <c r="H14" s="67">
        <f>85321431+O16</f>
        <v>645625427</v>
      </c>
      <c r="K14" s="51">
        <v>20</v>
      </c>
      <c r="L14" s="51"/>
      <c r="M14" s="64">
        <f>M12-M13</f>
        <v>8274708837</v>
      </c>
      <c r="N14" s="59"/>
      <c r="O14" s="64">
        <f>O12-O13</f>
        <v>6552558078</v>
      </c>
    </row>
    <row r="15" spans="1:15" ht="16.5" customHeight="1">
      <c r="A15" s="60">
        <v>7</v>
      </c>
      <c r="B15" s="39" t="s">
        <v>5</v>
      </c>
      <c r="D15" s="40">
        <v>22</v>
      </c>
      <c r="E15" s="40" t="s">
        <v>152</v>
      </c>
      <c r="F15" s="68">
        <f>62779604+3801327+219179427+29998770+'[1]BTDC'!F8+M17</f>
        <v>3824601387</v>
      </c>
      <c r="G15" s="68"/>
      <c r="H15" s="68">
        <v>916852493</v>
      </c>
      <c r="K15" s="51"/>
      <c r="L15" s="51"/>
      <c r="M15" s="59"/>
      <c r="N15" s="59"/>
      <c r="O15" s="59"/>
    </row>
    <row r="16" spans="1:15" s="70" customFormat="1" ht="16.5" customHeight="1">
      <c r="A16" s="69"/>
      <c r="B16" s="70" t="s">
        <v>153</v>
      </c>
      <c r="D16" s="71">
        <v>23</v>
      </c>
      <c r="E16" s="71"/>
      <c r="F16" s="72">
        <f>62779604+M18</f>
        <v>3056255579</v>
      </c>
      <c r="G16" s="72"/>
      <c r="H16" s="72">
        <f>136916322+O18</f>
        <v>750597424</v>
      </c>
      <c r="K16" s="40">
        <v>21</v>
      </c>
      <c r="L16" s="40"/>
      <c r="M16" s="45">
        <f>1593560277+39705639</f>
        <v>1633265916</v>
      </c>
      <c r="N16" s="45"/>
      <c r="O16" s="45">
        <v>560303996</v>
      </c>
    </row>
    <row r="17" spans="1:15" ht="16.5" customHeight="1">
      <c r="A17" s="60">
        <v>8</v>
      </c>
      <c r="B17" s="39" t="s">
        <v>6</v>
      </c>
      <c r="D17" s="40">
        <v>24</v>
      </c>
      <c r="F17" s="67">
        <f>318133486+2172222774+2734522323+179878516+M19</f>
        <v>9889264964</v>
      </c>
      <c r="G17" s="67"/>
      <c r="H17" s="67">
        <f>4625681864+O19</f>
        <v>8452131308</v>
      </c>
      <c r="K17" s="40">
        <v>22</v>
      </c>
      <c r="M17" s="45">
        <v>3505163899</v>
      </c>
      <c r="N17" s="45"/>
      <c r="O17" s="45">
        <v>648597636</v>
      </c>
    </row>
    <row r="18" spans="1:17" ht="16.5" customHeight="1">
      <c r="A18" s="60">
        <v>9</v>
      </c>
      <c r="B18" s="39" t="s">
        <v>7</v>
      </c>
      <c r="D18" s="40">
        <v>25</v>
      </c>
      <c r="F18" s="68">
        <f>598736197+497243029+27799899+61555226+3315000+279479783+147229050+66794450+M20</f>
        <v>4114098590</v>
      </c>
      <c r="G18" s="68"/>
      <c r="H18" s="68">
        <f>1757197330+O20</f>
        <v>3920599329</v>
      </c>
      <c r="K18" s="71">
        <v>23</v>
      </c>
      <c r="L18" s="71"/>
      <c r="M18" s="73">
        <v>2993475975</v>
      </c>
      <c r="N18" s="73"/>
      <c r="O18" s="73">
        <v>613681102</v>
      </c>
      <c r="Q18" s="74"/>
    </row>
    <row r="19" spans="1:17" s="41" customFormat="1" ht="30" customHeight="1">
      <c r="A19" s="55">
        <v>10</v>
      </c>
      <c r="B19" s="41" t="s">
        <v>8</v>
      </c>
      <c r="D19" s="51">
        <v>30</v>
      </c>
      <c r="E19" s="40"/>
      <c r="F19" s="64">
        <f>F12+F14-F15-F17-F18</f>
        <v>9486995020</v>
      </c>
      <c r="G19" s="59"/>
      <c r="H19" s="64">
        <f>H12+H14-H15-H17-H18</f>
        <v>6947092626</v>
      </c>
      <c r="K19" s="40">
        <v>24</v>
      </c>
      <c r="L19" s="40"/>
      <c r="M19" s="45">
        <v>4484507865</v>
      </c>
      <c r="N19" s="45"/>
      <c r="O19" s="45">
        <v>3826449444</v>
      </c>
      <c r="P19" s="39"/>
      <c r="Q19" s="74"/>
    </row>
    <row r="20" spans="1:17" ht="16.5" customHeight="1">
      <c r="A20" s="60">
        <v>11</v>
      </c>
      <c r="B20" s="39" t="s">
        <v>9</v>
      </c>
      <c r="D20" s="40">
        <v>31</v>
      </c>
      <c r="F20" s="75">
        <f>67218173-'[1]BTDC'!F11+M22</f>
        <v>930698463</v>
      </c>
      <c r="G20" s="76"/>
      <c r="H20" s="75">
        <f>2208375+15269196+O22</f>
        <v>703172243</v>
      </c>
      <c r="J20" s="77"/>
      <c r="K20" s="40">
        <v>25</v>
      </c>
      <c r="M20" s="45">
        <v>2431945956</v>
      </c>
      <c r="N20" s="45"/>
      <c r="O20" s="45">
        <v>2163401999</v>
      </c>
      <c r="Q20" s="74"/>
    </row>
    <row r="21" spans="1:17" ht="16.5" customHeight="1">
      <c r="A21" s="60">
        <v>12</v>
      </c>
      <c r="B21" s="39" t="s">
        <v>154</v>
      </c>
      <c r="D21" s="40">
        <v>32</v>
      </c>
      <c r="F21" s="45">
        <f>M23</f>
        <v>8299862</v>
      </c>
      <c r="G21" s="45"/>
      <c r="H21" s="45">
        <f>O23</f>
        <v>15237964</v>
      </c>
      <c r="K21" s="51">
        <v>30</v>
      </c>
      <c r="L21" s="51"/>
      <c r="M21" s="64">
        <f>M14+M16-M17-M19-M20</f>
        <v>-513642967</v>
      </c>
      <c r="N21" s="59"/>
      <c r="O21" s="64">
        <f>O14+O16-O17-O19-O20</f>
        <v>474412995</v>
      </c>
      <c r="Q21" s="78"/>
    </row>
    <row r="22" spans="1:15" s="41" customFormat="1" ht="30" customHeight="1">
      <c r="A22" s="55">
        <v>13</v>
      </c>
      <c r="B22" s="41" t="s">
        <v>155</v>
      </c>
      <c r="D22" s="51">
        <v>40</v>
      </c>
      <c r="E22" s="40"/>
      <c r="F22" s="59">
        <f>F20-F21</f>
        <v>922398601</v>
      </c>
      <c r="G22" s="59"/>
      <c r="H22" s="59">
        <f>H20-H21</f>
        <v>687934279</v>
      </c>
      <c r="K22" s="40">
        <v>31</v>
      </c>
      <c r="L22" s="40"/>
      <c r="M22" s="45">
        <v>906381730</v>
      </c>
      <c r="N22" s="45"/>
      <c r="O22" s="45">
        <v>685694672</v>
      </c>
    </row>
    <row r="23" spans="1:15" ht="30" customHeight="1">
      <c r="A23" s="55">
        <v>14</v>
      </c>
      <c r="B23" s="41" t="s">
        <v>156</v>
      </c>
      <c r="D23" s="40">
        <v>50</v>
      </c>
      <c r="F23" s="64">
        <f>F19+F22</f>
        <v>10409393621</v>
      </c>
      <c r="G23" s="59"/>
      <c r="H23" s="64">
        <f>H19+H22</f>
        <v>7635026905</v>
      </c>
      <c r="J23" s="77"/>
      <c r="K23" s="40">
        <v>32</v>
      </c>
      <c r="M23" s="45">
        <v>8299862</v>
      </c>
      <c r="N23" s="45"/>
      <c r="O23" s="45">
        <v>15237964</v>
      </c>
    </row>
    <row r="24" spans="1:15" ht="30" customHeight="1">
      <c r="A24" s="55"/>
      <c r="B24" s="39" t="s">
        <v>157</v>
      </c>
      <c r="F24" s="79">
        <v>10008995862</v>
      </c>
      <c r="G24" s="80"/>
      <c r="H24" s="79">
        <v>6667524864</v>
      </c>
      <c r="J24" s="77"/>
      <c r="K24" s="51">
        <v>40</v>
      </c>
      <c r="L24" s="51"/>
      <c r="M24" s="59">
        <f>M22-M23</f>
        <v>898081868</v>
      </c>
      <c r="N24" s="59"/>
      <c r="O24" s="59">
        <f>O22-O23</f>
        <v>670456708</v>
      </c>
    </row>
    <row r="25" spans="1:15" ht="16.5" customHeight="1">
      <c r="A25" s="60">
        <v>15</v>
      </c>
      <c r="B25" s="39" t="s">
        <v>158</v>
      </c>
      <c r="D25" s="40">
        <v>51</v>
      </c>
      <c r="E25" s="40" t="s">
        <v>159</v>
      </c>
      <c r="F25" s="45">
        <f>'[1]TM'!I561</f>
        <v>1009253935</v>
      </c>
      <c r="G25" s="45">
        <f>G24*0.28</f>
        <v>0</v>
      </c>
      <c r="H25" s="45">
        <v>1370750233</v>
      </c>
      <c r="J25" s="77"/>
      <c r="K25" s="40">
        <v>50</v>
      </c>
      <c r="M25" s="64">
        <f>M21+M24</f>
        <v>384438901</v>
      </c>
      <c r="N25" s="59"/>
      <c r="O25" s="64">
        <f>O21+O24</f>
        <v>1144869703</v>
      </c>
    </row>
    <row r="26" spans="1:15" ht="16.5" customHeight="1">
      <c r="A26" s="60"/>
      <c r="B26" s="39" t="s">
        <v>160</v>
      </c>
      <c r="F26" s="45">
        <f>'[1]TM'!I562</f>
        <v>807403148</v>
      </c>
      <c r="G26" s="45">
        <f>G25</f>
        <v>0</v>
      </c>
      <c r="H26" s="45">
        <v>1233675210</v>
      </c>
      <c r="J26" s="77"/>
      <c r="M26" s="81">
        <v>1009253935</v>
      </c>
      <c r="N26" s="59"/>
      <c r="O26" s="59">
        <f>O25</f>
        <v>1144869703</v>
      </c>
    </row>
    <row r="27" spans="1:15" ht="16.5" customHeight="1">
      <c r="A27" s="60"/>
      <c r="B27" s="39" t="s">
        <v>161</v>
      </c>
      <c r="F27" s="45">
        <f>F25-F26</f>
        <v>201850787</v>
      </c>
      <c r="G27" s="45"/>
      <c r="H27" s="45">
        <f>H25-H26</f>
        <v>137075023</v>
      </c>
      <c r="J27" s="77"/>
      <c r="M27" s="81"/>
      <c r="N27" s="59"/>
      <c r="O27" s="59"/>
    </row>
    <row r="28" spans="1:15" ht="16.5" customHeight="1">
      <c r="A28" s="60">
        <v>16</v>
      </c>
      <c r="B28" s="39" t="s">
        <v>162</v>
      </c>
      <c r="D28" s="40">
        <v>52</v>
      </c>
      <c r="F28" s="82"/>
      <c r="G28" s="45"/>
      <c r="H28" s="45"/>
      <c r="J28" s="77"/>
      <c r="K28" s="40">
        <v>51</v>
      </c>
      <c r="M28" s="45">
        <f>M26*0.2</f>
        <v>201850787</v>
      </c>
      <c r="N28" s="45"/>
      <c r="O28" s="45">
        <v>274150047</v>
      </c>
    </row>
    <row r="29" spans="1:15" ht="30" customHeight="1">
      <c r="A29" s="55">
        <v>17</v>
      </c>
      <c r="B29" s="41" t="s">
        <v>163</v>
      </c>
      <c r="C29" s="41"/>
      <c r="D29" s="40">
        <v>60</v>
      </c>
      <c r="F29" s="59">
        <f>F23-F27</f>
        <v>10207542834</v>
      </c>
      <c r="G29" s="59">
        <f>G23</f>
        <v>0</v>
      </c>
      <c r="H29" s="59">
        <f>H23-(H25-H26)</f>
        <v>7497951882</v>
      </c>
      <c r="J29" s="45"/>
      <c r="M29" s="45"/>
      <c r="N29" s="45"/>
      <c r="O29" s="45">
        <v>137075024</v>
      </c>
    </row>
    <row r="30" spans="1:17" s="41" customFormat="1" ht="30" customHeight="1" thickBot="1">
      <c r="A30" s="55">
        <v>18</v>
      </c>
      <c r="B30" s="41" t="s">
        <v>10</v>
      </c>
      <c r="D30" s="51">
        <v>70</v>
      </c>
      <c r="E30" s="51"/>
      <c r="F30" s="83">
        <f>'[1]TM'!I574</f>
        <v>1205.1653037110082</v>
      </c>
      <c r="G30" s="59"/>
      <c r="H30" s="83">
        <v>2235</v>
      </c>
      <c r="K30" s="40"/>
      <c r="L30" s="40"/>
      <c r="M30" s="45">
        <f>M28</f>
        <v>201850787</v>
      </c>
      <c r="N30" s="45"/>
      <c r="O30" s="45">
        <f>O29</f>
        <v>137075024</v>
      </c>
      <c r="Q30" s="78"/>
    </row>
    <row r="31" spans="6:15" ht="19.5" customHeight="1" thickTop="1">
      <c r="F31" s="45"/>
      <c r="G31" s="45"/>
      <c r="H31" s="45"/>
      <c r="J31" s="74"/>
      <c r="K31" s="40">
        <v>52</v>
      </c>
      <c r="M31" s="82"/>
      <c r="N31" s="45"/>
      <c r="O31" s="45"/>
    </row>
    <row r="32" spans="4:15" ht="19.5" customHeight="1">
      <c r="D32" s="124" t="str">
        <f>'[1]BCDKT'!E116</f>
        <v>Ngaøy 12 thaùng 01 naêm 2009</v>
      </c>
      <c r="E32" s="124"/>
      <c r="F32" s="124"/>
      <c r="G32" s="124"/>
      <c r="H32" s="124"/>
      <c r="J32" s="74"/>
      <c r="K32" s="40">
        <v>60</v>
      </c>
      <c r="M32" s="59">
        <f>M25-M30</f>
        <v>182588114</v>
      </c>
      <c r="N32" s="59"/>
      <c r="O32" s="59">
        <f>O25-O30</f>
        <v>1007794679</v>
      </c>
    </row>
    <row r="33" spans="3:15" ht="19.5" customHeight="1" thickBot="1">
      <c r="C33" s="10" t="s">
        <v>132</v>
      </c>
      <c r="D33" s="122" t="s">
        <v>143</v>
      </c>
      <c r="E33" s="122"/>
      <c r="F33" s="122"/>
      <c r="G33" s="122"/>
      <c r="H33" s="122"/>
      <c r="J33" s="74"/>
      <c r="K33" s="51">
        <v>70</v>
      </c>
      <c r="L33" s="51"/>
      <c r="M33" s="83"/>
      <c r="N33" s="59"/>
      <c r="O33" s="84"/>
    </row>
    <row r="34" spans="3:15" ht="19.5" customHeight="1" thickTop="1">
      <c r="C34" s="3"/>
      <c r="D34" s="4"/>
      <c r="E34" s="4"/>
      <c r="F34" s="8"/>
      <c r="G34" s="8"/>
      <c r="H34" s="8"/>
      <c r="J34" s="74"/>
      <c r="M34" s="45"/>
      <c r="N34" s="45"/>
      <c r="O34" s="45"/>
    </row>
    <row r="35" spans="3:15" ht="19.5" customHeight="1">
      <c r="C35" s="3"/>
      <c r="D35" s="4"/>
      <c r="E35" s="4"/>
      <c r="F35" s="8"/>
      <c r="G35" s="8"/>
      <c r="H35" s="8"/>
      <c r="J35" s="74"/>
      <c r="K35" s="124" t="s">
        <v>164</v>
      </c>
      <c r="L35" s="124"/>
      <c r="M35" s="124"/>
      <c r="N35" s="124"/>
      <c r="O35" s="124"/>
    </row>
    <row r="36" spans="3:15" ht="19.5" customHeight="1">
      <c r="C36" s="3"/>
      <c r="D36" s="4"/>
      <c r="E36" s="4"/>
      <c r="F36" s="8"/>
      <c r="G36" s="8"/>
      <c r="H36" s="8"/>
      <c r="L36" s="125" t="s">
        <v>143</v>
      </c>
      <c r="M36" s="125"/>
      <c r="N36" s="125"/>
      <c r="O36" s="125"/>
    </row>
    <row r="37" spans="3:15" ht="19.5" customHeight="1">
      <c r="C37" s="10" t="s">
        <v>134</v>
      </c>
      <c r="D37" s="122" t="s">
        <v>135</v>
      </c>
      <c r="E37" s="122"/>
      <c r="F37" s="122"/>
      <c r="G37" s="122"/>
      <c r="H37" s="122"/>
      <c r="M37" s="45"/>
      <c r="N37" s="45"/>
      <c r="O37" s="45"/>
    </row>
    <row r="38" spans="3:15" ht="19.5" customHeight="1">
      <c r="C38" s="41"/>
      <c r="G38" s="45"/>
      <c r="H38" s="45"/>
      <c r="M38" s="45"/>
      <c r="N38" s="45"/>
      <c r="O38" s="45"/>
    </row>
    <row r="39" spans="7:15" ht="19.5" customHeight="1">
      <c r="G39" s="45"/>
      <c r="H39" s="45"/>
      <c r="M39" s="45"/>
      <c r="N39" s="45"/>
      <c r="O39" s="45"/>
    </row>
    <row r="40" spans="6:15" ht="19.5" customHeight="1">
      <c r="F40" s="45"/>
      <c r="G40" s="45"/>
      <c r="H40" s="45"/>
      <c r="M40" s="45"/>
      <c r="N40" s="45"/>
      <c r="O40" s="45"/>
    </row>
    <row r="41" spans="6:15" ht="19.5" customHeight="1">
      <c r="F41" s="45"/>
      <c r="G41" s="45"/>
      <c r="H41" s="45"/>
      <c r="L41" s="122" t="s">
        <v>144</v>
      </c>
      <c r="M41" s="122"/>
      <c r="N41" s="122"/>
      <c r="O41" s="122"/>
    </row>
    <row r="42" spans="6:15" ht="19.5" customHeight="1">
      <c r="F42" s="45"/>
      <c r="G42" s="45"/>
      <c r="H42" s="45"/>
      <c r="N42" s="45"/>
      <c r="O42" s="45"/>
    </row>
    <row r="43" spans="6:15" ht="19.5" customHeight="1">
      <c r="F43" s="45"/>
      <c r="G43" s="45"/>
      <c r="H43" s="45"/>
      <c r="N43" s="45"/>
      <c r="O43" s="45"/>
    </row>
    <row r="44" spans="6:15" ht="19.5" customHeight="1">
      <c r="F44" s="45"/>
      <c r="G44" s="45"/>
      <c r="H44" s="45"/>
      <c r="M44" s="45"/>
      <c r="N44" s="45"/>
      <c r="O44" s="45"/>
    </row>
    <row r="45" spans="6:15" ht="19.5" customHeight="1">
      <c r="F45" s="45"/>
      <c r="G45" s="45"/>
      <c r="H45" s="45"/>
      <c r="M45" s="45"/>
      <c r="N45" s="45"/>
      <c r="O45" s="45"/>
    </row>
    <row r="46" spans="6:15" ht="19.5" customHeight="1">
      <c r="F46" s="45"/>
      <c r="G46" s="45"/>
      <c r="H46" s="45"/>
      <c r="M46" s="45"/>
      <c r="N46" s="45"/>
      <c r="O46" s="45"/>
    </row>
    <row r="47" spans="6:15" ht="19.5" customHeight="1">
      <c r="F47" s="45"/>
      <c r="G47" s="45"/>
      <c r="H47" s="45"/>
      <c r="M47" s="45"/>
      <c r="N47" s="45"/>
      <c r="O47" s="45"/>
    </row>
    <row r="48" spans="6:15" ht="19.5" customHeight="1">
      <c r="F48" s="45"/>
      <c r="G48" s="45"/>
      <c r="H48" s="45"/>
      <c r="M48" s="45"/>
      <c r="N48" s="45"/>
      <c r="O48" s="45"/>
    </row>
    <row r="49" spans="6:15" ht="19.5" customHeight="1">
      <c r="F49" s="45"/>
      <c r="G49" s="45"/>
      <c r="H49" s="45"/>
      <c r="M49" s="45"/>
      <c r="N49" s="45"/>
      <c r="O49" s="45"/>
    </row>
    <row r="50" spans="6:15" ht="19.5" customHeight="1">
      <c r="F50" s="45"/>
      <c r="G50" s="45"/>
      <c r="H50" s="45"/>
      <c r="M50" s="45"/>
      <c r="N50" s="45"/>
      <c r="O50" s="45"/>
    </row>
    <row r="51" spans="6:15" ht="19.5" customHeight="1">
      <c r="F51" s="45"/>
      <c r="G51" s="45"/>
      <c r="H51" s="45"/>
      <c r="M51" s="45"/>
      <c r="N51" s="45"/>
      <c r="O51" s="45"/>
    </row>
    <row r="52" spans="6:15" ht="19.5" customHeight="1">
      <c r="F52" s="45"/>
      <c r="G52" s="45"/>
      <c r="H52" s="45"/>
      <c r="M52" s="45"/>
      <c r="N52" s="45"/>
      <c r="O52" s="45"/>
    </row>
    <row r="53" spans="6:15" ht="19.5" customHeight="1">
      <c r="F53" s="45"/>
      <c r="G53" s="45"/>
      <c r="H53" s="45"/>
      <c r="M53" s="45"/>
      <c r="N53" s="45"/>
      <c r="O53" s="45"/>
    </row>
    <row r="54" spans="6:15" ht="19.5" customHeight="1">
      <c r="F54" s="45"/>
      <c r="G54" s="45"/>
      <c r="H54" s="45"/>
      <c r="M54" s="45"/>
      <c r="N54" s="45"/>
      <c r="O54" s="45"/>
    </row>
    <row r="55" spans="6:15" ht="19.5" customHeight="1">
      <c r="F55" s="45"/>
      <c r="G55" s="45"/>
      <c r="H55" s="45"/>
      <c r="M55" s="45"/>
      <c r="N55" s="45"/>
      <c r="O55" s="45"/>
    </row>
    <row r="56" spans="6:15" ht="19.5" customHeight="1">
      <c r="F56" s="45"/>
      <c r="G56" s="45"/>
      <c r="H56" s="45"/>
      <c r="M56" s="45"/>
      <c r="N56" s="45"/>
      <c r="O56" s="45"/>
    </row>
    <row r="57" spans="6:15" ht="19.5" customHeight="1">
      <c r="F57" s="45"/>
      <c r="G57" s="45"/>
      <c r="H57" s="45"/>
      <c r="M57" s="45"/>
      <c r="N57" s="45"/>
      <c r="O57" s="45"/>
    </row>
    <row r="58" spans="6:15" ht="19.5" customHeight="1">
      <c r="F58" s="45"/>
      <c r="G58" s="45"/>
      <c r="H58" s="45"/>
      <c r="M58" s="45"/>
      <c r="N58" s="45"/>
      <c r="O58" s="45"/>
    </row>
    <row r="59" spans="6:15" ht="19.5" customHeight="1">
      <c r="F59" s="45"/>
      <c r="G59" s="45"/>
      <c r="H59" s="45"/>
      <c r="M59" s="45"/>
      <c r="N59" s="45"/>
      <c r="O59" s="45"/>
    </row>
    <row r="60" spans="6:15" ht="19.5" customHeight="1">
      <c r="F60" s="45"/>
      <c r="G60" s="45"/>
      <c r="H60" s="45"/>
      <c r="M60" s="45"/>
      <c r="N60" s="45"/>
      <c r="O60" s="45"/>
    </row>
    <row r="61" spans="13:15" ht="19.5" customHeight="1">
      <c r="M61" s="45"/>
      <c r="N61" s="45"/>
      <c r="O61" s="45"/>
    </row>
    <row r="62" spans="13:15" ht="19.5" customHeight="1">
      <c r="M62" s="45"/>
      <c r="N62" s="45"/>
      <c r="O62" s="45"/>
    </row>
    <row r="63" spans="13:15" ht="19.5" customHeight="1">
      <c r="M63" s="45"/>
      <c r="N63" s="45"/>
      <c r="O63" s="45"/>
    </row>
    <row r="64" spans="13:15" ht="19.5" customHeight="1">
      <c r="M64" s="45"/>
      <c r="N64" s="45"/>
      <c r="O64" s="45"/>
    </row>
  </sheetData>
  <mergeCells count="6">
    <mergeCell ref="D37:H37"/>
    <mergeCell ref="L41:O41"/>
    <mergeCell ref="D32:H32"/>
    <mergeCell ref="D33:H33"/>
    <mergeCell ref="K35:O35"/>
    <mergeCell ref="L36:O3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H28" sqref="H28"/>
    </sheetView>
  </sheetViews>
  <sheetFormatPr defaultColWidth="9.00390625" defaultRowHeight="12.75"/>
  <cols>
    <col min="2" max="4" width="9.125" style="1" customWidth="1"/>
    <col min="9" max="9" width="12.625" style="0" customWidth="1"/>
    <col min="11" max="11" width="14.375" style="0" customWidth="1"/>
  </cols>
  <sheetData>
    <row r="1" spans="1:12" s="85" customFormat="1" ht="16.5" customHeight="1">
      <c r="A1" s="85" t="s">
        <v>165</v>
      </c>
      <c r="B1" s="86" t="s">
        <v>166</v>
      </c>
      <c r="I1" s="87"/>
      <c r="J1" s="87"/>
      <c r="K1" s="87"/>
      <c r="L1" s="87"/>
    </row>
    <row r="2" spans="9:12" s="85" customFormat="1" ht="6.75" customHeight="1">
      <c r="I2" s="87"/>
      <c r="J2" s="87"/>
      <c r="K2" s="87"/>
      <c r="L2" s="87"/>
    </row>
    <row r="3" spans="2:12" s="85" customFormat="1" ht="28.5" customHeight="1">
      <c r="B3" s="88" t="s">
        <v>167</v>
      </c>
      <c r="C3" s="88"/>
      <c r="D3" s="88"/>
      <c r="E3" s="88"/>
      <c r="F3" s="88"/>
      <c r="G3" s="88"/>
      <c r="H3" s="89"/>
      <c r="I3" s="90" t="s">
        <v>147</v>
      </c>
      <c r="J3" s="90"/>
      <c r="K3" s="91" t="s">
        <v>13</v>
      </c>
      <c r="L3" s="87"/>
    </row>
    <row r="4" spans="2:12" s="85" customFormat="1" ht="15" customHeight="1">
      <c r="B4" s="5" t="s">
        <v>168</v>
      </c>
      <c r="C4" s="6"/>
      <c r="D4" s="6"/>
      <c r="E4" s="6"/>
      <c r="F4" s="6"/>
      <c r="G4" s="6"/>
      <c r="I4" s="87"/>
      <c r="J4" s="87"/>
      <c r="K4" s="92"/>
      <c r="L4" s="87"/>
    </row>
    <row r="5" spans="2:12" s="85" customFormat="1" ht="15" customHeight="1">
      <c r="B5" s="93" t="s">
        <v>169</v>
      </c>
      <c r="C5" s="94"/>
      <c r="D5" s="94"/>
      <c r="E5" s="94"/>
      <c r="F5" s="94"/>
      <c r="G5" s="94"/>
      <c r="H5" s="95"/>
      <c r="I5" s="96"/>
      <c r="J5" s="96"/>
      <c r="K5" s="96"/>
      <c r="L5" s="87"/>
    </row>
    <row r="6" spans="1:12" s="85" customFormat="1" ht="15" customHeight="1">
      <c r="A6" s="5"/>
      <c r="B6" s="6" t="s">
        <v>170</v>
      </c>
      <c r="H6" s="97"/>
      <c r="I6" s="98">
        <v>0.3745037535609601</v>
      </c>
      <c r="J6" s="98"/>
      <c r="K6" s="98">
        <v>0.4606039839382867</v>
      </c>
      <c r="L6" s="87"/>
    </row>
    <row r="7" spans="1:12" s="85" customFormat="1" ht="15" customHeight="1">
      <c r="A7" s="5"/>
      <c r="B7" s="6" t="s">
        <v>171</v>
      </c>
      <c r="H7" s="99"/>
      <c r="I7" s="98">
        <v>0.6254962464390399</v>
      </c>
      <c r="J7" s="98"/>
      <c r="K7" s="98">
        <v>0.5393960160617133</v>
      </c>
      <c r="L7" s="87"/>
    </row>
    <row r="8" spans="2:12" s="85" customFormat="1" ht="15" customHeight="1">
      <c r="B8" s="93" t="s">
        <v>172</v>
      </c>
      <c r="C8" s="94"/>
      <c r="D8" s="94"/>
      <c r="E8" s="94"/>
      <c r="F8" s="94"/>
      <c r="G8" s="94"/>
      <c r="H8" s="95"/>
      <c r="I8" s="100"/>
      <c r="J8" s="100"/>
      <c r="K8" s="101"/>
      <c r="L8" s="87"/>
    </row>
    <row r="9" spans="1:12" s="85" customFormat="1" ht="15" customHeight="1">
      <c r="A9" s="5"/>
      <c r="B9" s="6" t="s">
        <v>173</v>
      </c>
      <c r="H9" s="97"/>
      <c r="I9" s="98">
        <v>0.3564243222215708</v>
      </c>
      <c r="J9" s="98"/>
      <c r="K9" s="98">
        <v>0.21955501782071418</v>
      </c>
      <c r="L9" s="87"/>
    </row>
    <row r="10" spans="1:12" s="85" customFormat="1" ht="15" customHeight="1">
      <c r="A10" s="5"/>
      <c r="B10" s="6" t="s">
        <v>174</v>
      </c>
      <c r="H10" s="99"/>
      <c r="I10" s="98">
        <v>0.6435756777784293</v>
      </c>
      <c r="J10" s="98"/>
      <c r="K10" s="98">
        <v>0.7804449821792858</v>
      </c>
      <c r="L10" s="87"/>
    </row>
    <row r="11" spans="2:12" s="85" customFormat="1" ht="15" customHeight="1">
      <c r="B11" s="93" t="s">
        <v>175</v>
      </c>
      <c r="C11" s="94"/>
      <c r="D11" s="94"/>
      <c r="E11" s="94"/>
      <c r="F11" s="94"/>
      <c r="G11" s="94"/>
      <c r="H11" s="95"/>
      <c r="I11" s="96"/>
      <c r="J11" s="96"/>
      <c r="K11" s="96"/>
      <c r="L11" s="87"/>
    </row>
    <row r="12" spans="1:12" s="85" customFormat="1" ht="15" customHeight="1">
      <c r="A12" s="5"/>
      <c r="B12" s="6" t="s">
        <v>176</v>
      </c>
      <c r="H12" s="97"/>
      <c r="I12" s="102">
        <v>2.8056446702801994</v>
      </c>
      <c r="J12" s="102"/>
      <c r="K12" s="102">
        <v>4.554667025722852</v>
      </c>
      <c r="L12" s="87"/>
    </row>
    <row r="13" spans="1:12" s="85" customFormat="1" ht="15" customHeight="1">
      <c r="A13" s="5"/>
      <c r="B13" s="6" t="s">
        <v>177</v>
      </c>
      <c r="H13" s="44"/>
      <c r="I13" s="102">
        <v>2.31774630454643</v>
      </c>
      <c r="J13" s="102"/>
      <c r="K13" s="102">
        <v>2.905739841344402</v>
      </c>
      <c r="L13" s="87"/>
    </row>
    <row r="14" spans="1:12" s="85" customFormat="1" ht="15" customHeight="1">
      <c r="A14" s="5"/>
      <c r="B14" s="6" t="s">
        <v>178</v>
      </c>
      <c r="H14" s="99"/>
      <c r="I14" s="102">
        <v>0.08815114188997236</v>
      </c>
      <c r="J14" s="102"/>
      <c r="K14" s="102">
        <v>0.17600724208218008</v>
      </c>
      <c r="L14" s="87"/>
    </row>
    <row r="15" spans="2:12" s="85" customFormat="1" ht="15" customHeight="1">
      <c r="B15" s="93" t="s">
        <v>179</v>
      </c>
      <c r="C15" s="94"/>
      <c r="D15" s="94"/>
      <c r="E15" s="94"/>
      <c r="F15" s="94"/>
      <c r="G15" s="94"/>
      <c r="H15" s="95"/>
      <c r="I15" s="103"/>
      <c r="J15" s="104"/>
      <c r="K15" s="103"/>
      <c r="L15" s="87"/>
    </row>
    <row r="16" spans="1:12" s="85" customFormat="1" ht="15" customHeight="1">
      <c r="A16" s="5"/>
      <c r="B16" s="105" t="s">
        <v>180</v>
      </c>
      <c r="C16" s="94"/>
      <c r="D16" s="94"/>
      <c r="E16" s="94"/>
      <c r="F16" s="94"/>
      <c r="G16" s="94"/>
      <c r="H16" s="95"/>
      <c r="I16" s="104"/>
      <c r="J16" s="104"/>
      <c r="K16" s="104"/>
      <c r="L16" s="87"/>
    </row>
    <row r="17" spans="1:12" s="85" customFormat="1" ht="15" customHeight="1">
      <c r="A17" s="5"/>
      <c r="B17" s="6" t="s">
        <v>181</v>
      </c>
      <c r="H17" s="97"/>
      <c r="I17" s="102">
        <v>0.056648176580425924</v>
      </c>
      <c r="J17" s="102"/>
      <c r="K17" s="102">
        <v>0.0438156997255958</v>
      </c>
      <c r="L17" s="87"/>
    </row>
    <row r="18" spans="1:12" s="85" customFormat="1" ht="15" customHeight="1">
      <c r="A18" s="5"/>
      <c r="B18" s="106" t="s">
        <v>182</v>
      </c>
      <c r="C18" s="107"/>
      <c r="D18" s="107"/>
      <c r="E18" s="107"/>
      <c r="F18" s="107"/>
      <c r="G18" s="107"/>
      <c r="H18" s="108"/>
      <c r="I18" s="109">
        <v>0.05446920210985923</v>
      </c>
      <c r="J18" s="109"/>
      <c r="K18" s="109">
        <v>0.03826342342849517</v>
      </c>
      <c r="L18" s="87"/>
    </row>
    <row r="19" spans="1:12" s="85" customFormat="1" ht="15" customHeight="1">
      <c r="A19" s="5"/>
      <c r="B19" s="6"/>
      <c r="H19" s="44"/>
      <c r="I19" s="102"/>
      <c r="J19" s="102"/>
      <c r="K19" s="102"/>
      <c r="L19" s="87"/>
    </row>
    <row r="20" spans="1:12" s="85" customFormat="1" ht="15" customHeight="1">
      <c r="A20" s="5"/>
      <c r="B20" s="6"/>
      <c r="C20" s="39"/>
      <c r="D20" s="39"/>
      <c r="E20" s="39"/>
      <c r="F20" s="39"/>
      <c r="G20" s="39"/>
      <c r="H20" s="44"/>
      <c r="I20" s="110"/>
      <c r="J20" s="110"/>
      <c r="K20" s="110"/>
      <c r="L20" s="87"/>
    </row>
    <row r="21" spans="1:12" s="85" customFormat="1" ht="15" customHeight="1">
      <c r="A21" s="5"/>
      <c r="B21" s="6"/>
      <c r="C21" s="39"/>
      <c r="D21" s="39"/>
      <c r="E21" s="39"/>
      <c r="F21" s="39"/>
      <c r="G21" s="39"/>
      <c r="H21" s="44"/>
      <c r="I21" s="110"/>
      <c r="J21" s="110"/>
      <c r="K21" s="110"/>
      <c r="L21" s="87"/>
    </row>
    <row r="22" spans="1:12" s="85" customFormat="1" ht="15" customHeight="1">
      <c r="A22" s="5"/>
      <c r="B22" s="6"/>
      <c r="C22" s="39"/>
      <c r="D22" s="39"/>
      <c r="E22" s="39"/>
      <c r="F22" s="39"/>
      <c r="G22" s="39"/>
      <c r="H22" s="44"/>
      <c r="I22" s="110"/>
      <c r="J22" s="110"/>
      <c r="K22" s="110"/>
      <c r="L22" s="87"/>
    </row>
    <row r="23" spans="1:12" s="85" customFormat="1" ht="33.75" customHeight="1">
      <c r="A23" s="5"/>
      <c r="B23" s="88" t="s">
        <v>167</v>
      </c>
      <c r="C23" s="88"/>
      <c r="D23" s="88"/>
      <c r="E23" s="88"/>
      <c r="F23" s="88"/>
      <c r="G23" s="88"/>
      <c r="H23" s="89"/>
      <c r="I23" s="90" t="s">
        <v>147</v>
      </c>
      <c r="J23" s="90"/>
      <c r="K23" s="91" t="s">
        <v>13</v>
      </c>
      <c r="L23" s="87"/>
    </row>
    <row r="24" spans="1:12" s="85" customFormat="1" ht="15" customHeight="1">
      <c r="A24" s="5"/>
      <c r="B24" s="105" t="s">
        <v>183</v>
      </c>
      <c r="C24" s="94"/>
      <c r="D24" s="94"/>
      <c r="E24" s="94"/>
      <c r="F24" s="94"/>
      <c r="G24" s="94"/>
      <c r="H24" s="111"/>
      <c r="I24" s="104"/>
      <c r="J24" s="104"/>
      <c r="K24" s="104"/>
      <c r="L24" s="87"/>
    </row>
    <row r="25" spans="1:12" s="85" customFormat="1" ht="15" customHeight="1">
      <c r="A25" s="5"/>
      <c r="B25" s="94" t="s">
        <v>184</v>
      </c>
      <c r="C25" s="112"/>
      <c r="D25" s="112"/>
      <c r="E25" s="112"/>
      <c r="F25" s="112"/>
      <c r="G25" s="112"/>
      <c r="H25" s="113"/>
      <c r="I25" s="103">
        <v>0.04254724789685578</v>
      </c>
      <c r="J25" s="103"/>
      <c r="K25" s="103">
        <v>0.052999116929333547</v>
      </c>
      <c r="L25" s="87"/>
    </row>
    <row r="26" spans="1:12" s="85" customFormat="1" ht="15" customHeight="1">
      <c r="A26" s="5"/>
      <c r="B26" s="6" t="s">
        <v>185</v>
      </c>
      <c r="C26" s="112"/>
      <c r="D26" s="112"/>
      <c r="E26" s="112"/>
      <c r="F26" s="112"/>
      <c r="G26" s="112"/>
      <c r="H26" s="113"/>
      <c r="I26" s="103">
        <v>0.0417222050763654</v>
      </c>
      <c r="J26" s="103"/>
      <c r="K26" s="103">
        <v>0.052047600286044375</v>
      </c>
      <c r="L26" s="87"/>
    </row>
    <row r="27" spans="1:12" s="85" customFormat="1" ht="15" customHeight="1" thickBot="1">
      <c r="A27" s="6"/>
      <c r="B27" s="114" t="s">
        <v>186</v>
      </c>
      <c r="C27" s="115"/>
      <c r="D27" s="115"/>
      <c r="E27" s="115"/>
      <c r="F27" s="115"/>
      <c r="G27" s="115"/>
      <c r="H27" s="116"/>
      <c r="I27" s="117">
        <v>0.06482874744482722</v>
      </c>
      <c r="J27" s="117"/>
      <c r="K27" s="117">
        <v>0.06668964689952721</v>
      </c>
      <c r="L27" s="87"/>
    </row>
    <row r="28" spans="9:12" s="85" customFormat="1" ht="17.25" thickTop="1">
      <c r="I28" s="87"/>
      <c r="J28" s="87"/>
      <c r="K28" s="87"/>
      <c r="L28" s="87"/>
    </row>
    <row r="29" spans="2:13" s="85" customFormat="1" ht="18" customHeight="1">
      <c r="B29" s="118"/>
      <c r="C29" s="118"/>
      <c r="D29" s="118"/>
      <c r="E29" s="118"/>
      <c r="F29" s="118"/>
      <c r="G29" s="123" t="str">
        <f>'[1]TM'!$G$623</f>
        <v>Ngaøy 12 thaùng 01 naêm 2009</v>
      </c>
      <c r="H29" s="123"/>
      <c r="I29" s="123"/>
      <c r="J29" s="123"/>
      <c r="K29" s="123"/>
      <c r="L29" s="8"/>
      <c r="M29" s="8"/>
    </row>
    <row r="30" spans="2:12" s="85" customFormat="1" ht="17.25" customHeight="1">
      <c r="B30" s="119"/>
      <c r="C30" s="120" t="s">
        <v>187</v>
      </c>
      <c r="D30" s="121"/>
      <c r="E30" s="121"/>
      <c r="F30" s="121"/>
      <c r="G30" s="126" t="s">
        <v>188</v>
      </c>
      <c r="H30" s="126"/>
      <c r="I30" s="126"/>
      <c r="J30" s="126"/>
      <c r="K30" s="126"/>
      <c r="L30" s="87"/>
    </row>
    <row r="31" spans="9:12" s="85" customFormat="1" ht="10.5" customHeight="1">
      <c r="I31" s="87"/>
      <c r="J31" s="87"/>
      <c r="K31" s="87"/>
      <c r="L31" s="87"/>
    </row>
    <row r="32" spans="9:12" s="85" customFormat="1" ht="16.5" customHeight="1">
      <c r="I32" s="87"/>
      <c r="J32" s="87"/>
      <c r="K32" s="87"/>
      <c r="L32" s="87"/>
    </row>
    <row r="33" spans="9:12" s="85" customFormat="1" ht="16.5" customHeight="1">
      <c r="I33" s="87"/>
      <c r="J33" s="87"/>
      <c r="K33" s="87"/>
      <c r="L33" s="87"/>
    </row>
    <row r="34" spans="1:12" s="85" customFormat="1" ht="16.5" customHeight="1">
      <c r="A34" s="39"/>
      <c r="B34" s="39"/>
      <c r="I34" s="87"/>
      <c r="J34" s="45"/>
      <c r="K34" s="45"/>
      <c r="L34" s="87"/>
    </row>
    <row r="35" spans="2:13" s="85" customFormat="1" ht="19.5" customHeight="1">
      <c r="B35" s="119"/>
      <c r="C35" s="10" t="s">
        <v>134</v>
      </c>
      <c r="D35" s="121"/>
      <c r="E35" s="121"/>
      <c r="F35" s="121"/>
      <c r="G35" s="121"/>
      <c r="H35" s="121"/>
      <c r="I35" s="15" t="s">
        <v>135</v>
      </c>
      <c r="J35" s="15"/>
      <c r="K35" s="15"/>
      <c r="L35" s="15"/>
      <c r="M35" s="15"/>
    </row>
    <row r="36" spans="9:12" s="85" customFormat="1" ht="19.5" customHeight="1">
      <c r="I36" s="87"/>
      <c r="J36" s="87"/>
      <c r="K36" s="87"/>
      <c r="L36" s="87"/>
    </row>
    <row r="37" spans="9:12" s="85" customFormat="1" ht="19.5" customHeight="1">
      <c r="I37" s="87"/>
      <c r="J37" s="87"/>
      <c r="K37" s="87"/>
      <c r="L37" s="87"/>
    </row>
    <row r="38" spans="9:12" s="85" customFormat="1" ht="19.5" customHeight="1">
      <c r="I38" s="87"/>
      <c r="J38" s="87"/>
      <c r="K38" s="87"/>
      <c r="L38" s="87"/>
    </row>
  </sheetData>
  <mergeCells count="2">
    <mergeCell ref="G29:K29"/>
    <mergeCell ref="G30:K30"/>
  </mergeCells>
  <printOptions/>
  <pageMargins left="0.5" right="0" top="0.5" bottom="0.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Cimaron</dc:creator>
  <cp:keywords/>
  <dc:description/>
  <cp:lastModifiedBy>Phan Vien III</cp:lastModifiedBy>
  <cp:lastPrinted>2009-03-20T06:52:20Z</cp:lastPrinted>
  <dcterms:created xsi:type="dcterms:W3CDTF">2008-03-27T10:44:33Z</dcterms:created>
  <dcterms:modified xsi:type="dcterms:W3CDTF">2009-03-20T06:59:19Z</dcterms:modified>
  <cp:category/>
  <cp:version/>
  <cp:contentType/>
  <cp:contentStatus/>
</cp:coreProperties>
</file>